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/Users/sumitpuri/Desktop/Desktop/2023/Marketing/"/>
    </mc:Choice>
  </mc:AlternateContent>
  <xr:revisionPtr revIDLastSave="0" documentId="8_{0687E0AD-7C48-484C-BBC6-C75527948520}" xr6:coauthVersionLast="47" xr6:coauthVersionMax="47" xr10:uidLastSave="{00000000-0000-0000-0000-000000000000}"/>
  <bookViews>
    <workbookView xWindow="0" yWindow="500" windowWidth="35840" windowHeight="21900" xr2:uid="{61D8DD98-CC43-4E48-A672-32EDF1EB4971}"/>
  </bookViews>
  <sheets>
    <sheet name="TCO Cala" sheetId="6" r:id="rId1"/>
    <sheet name="CO2" sheetId="7" r:id="rId2"/>
    <sheet name="Data" sheetId="5" r:id="rId3"/>
  </sheets>
  <definedNames>
    <definedName name="data">Data!$B$3:$B$6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6" l="1"/>
  <c r="I15" i="6"/>
  <c r="I14" i="6"/>
  <c r="I13" i="6"/>
  <c r="I12" i="6"/>
  <c r="I11" i="6"/>
  <c r="B18" i="5" l="1"/>
  <c r="B17" i="5"/>
  <c r="B25" i="6"/>
  <c r="F20" i="6" s="1"/>
  <c r="B21" i="6"/>
  <c r="B24" i="6"/>
  <c r="B20" i="6"/>
  <c r="B15" i="6"/>
  <c r="F8" i="6"/>
  <c r="E17" i="6"/>
  <c r="E5" i="6"/>
  <c r="F17" i="6"/>
  <c r="F5" i="6"/>
  <c r="B13" i="6"/>
  <c r="F24" i="6"/>
  <c r="F26" i="6"/>
  <c r="F12" i="6" l="1"/>
  <c r="E8" i="6"/>
  <c r="E18" i="6"/>
  <c r="E20" i="6"/>
  <c r="F18" i="6"/>
  <c r="F6" i="6"/>
  <c r="L20" i="5"/>
  <c r="G4" i="5" s="1"/>
  <c r="M20" i="5"/>
  <c r="G5" i="5" s="1"/>
  <c r="N20" i="5"/>
  <c r="G6" i="5" s="1"/>
  <c r="K20" i="5"/>
  <c r="G3" i="5" s="1"/>
  <c r="E24" i="6"/>
  <c r="E34" i="6"/>
  <c r="F34" i="6" s="1"/>
  <c r="E30" i="6"/>
  <c r="E26" i="6"/>
  <c r="E6" i="6"/>
  <c r="F33" i="6"/>
  <c r="K9" i="5"/>
  <c r="L9" i="5" s="1"/>
  <c r="M9" i="5" s="1"/>
  <c r="N9" i="5" s="1"/>
  <c r="K8" i="5"/>
  <c r="L8" i="5" s="1"/>
  <c r="M8" i="5" s="1"/>
  <c r="N8" i="5" s="1"/>
  <c r="K7" i="5"/>
  <c r="K11" i="5" l="1"/>
  <c r="C3" i="5" s="1"/>
  <c r="F19" i="6"/>
  <c r="F21" i="6"/>
  <c r="E33" i="6"/>
  <c r="E35" i="6" s="1"/>
  <c r="F9" i="6"/>
  <c r="E21" i="6"/>
  <c r="E19" i="6"/>
  <c r="E9" i="6"/>
  <c r="E7" i="6"/>
  <c r="E29" i="6"/>
  <c r="E31" i="6" s="1"/>
  <c r="L7" i="5"/>
  <c r="L11" i="5" s="1"/>
  <c r="C4" i="5" s="1"/>
  <c r="M7" i="5"/>
  <c r="N7" i="5" s="1"/>
  <c r="N11" i="5" s="1"/>
  <c r="C6" i="5" s="1"/>
  <c r="F30" i="6"/>
  <c r="F29" i="6"/>
  <c r="F35" i="6"/>
  <c r="F7" i="6"/>
  <c r="M11" i="5" l="1"/>
  <c r="C5" i="5" s="1"/>
  <c r="B14" i="6" s="1"/>
  <c r="F14" i="6" s="1"/>
  <c r="E23" i="6"/>
  <c r="F31" i="6"/>
  <c r="E25" i="6" l="1"/>
  <c r="E27" i="6" l="1"/>
  <c r="E40" i="6"/>
  <c r="I19" i="6" s="1"/>
  <c r="E41" i="6"/>
  <c r="I21" i="6" s="1"/>
  <c r="B12" i="6"/>
  <c r="F11" i="6" l="1"/>
  <c r="I30" i="6"/>
  <c r="E37" i="6"/>
  <c r="I5" i="6" s="1"/>
  <c r="I29" i="6"/>
  <c r="F15" i="6" l="1"/>
  <c r="F23" i="6" s="1"/>
  <c r="F25" i="6" s="1"/>
  <c r="F13" i="6"/>
  <c r="F27" i="6" l="1"/>
  <c r="F40" i="6"/>
  <c r="I20" i="6" s="1"/>
  <c r="F41" i="6"/>
  <c r="I22" i="6" s="1"/>
  <c r="F37" i="6" l="1"/>
  <c r="I6" i="6" s="1"/>
  <c r="I25" i="6"/>
  <c r="I26" i="6"/>
  <c r="I24" i="6"/>
  <c r="I23" i="6"/>
  <c r="I7" i="6" l="1"/>
  <c r="I8" i="6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<sst xmlns="http://schemas.openxmlformats.org/spreadsheetml/2006/main" count="317" uniqueCount="281">
  <si>
    <t>Server #</t>
  </si>
  <si>
    <t>Server Price</t>
  </si>
  <si>
    <t>Liqid #</t>
  </si>
  <si>
    <t>Server Ext Cost</t>
  </si>
  <si>
    <t>Liqid Price</t>
  </si>
  <si>
    <t>Server Power</t>
  </si>
  <si>
    <t>Liqid Ext Power</t>
  </si>
  <si>
    <t>Server Ext Power</t>
  </si>
  <si>
    <t>Total Power Cost (5 Yr)</t>
  </si>
  <si>
    <t>Liqid</t>
  </si>
  <si>
    <t>Power Cost</t>
  </si>
  <si>
    <t>SW License #</t>
  </si>
  <si>
    <t>SW License Cost</t>
  </si>
  <si>
    <t>SW Ext Cost</t>
  </si>
  <si>
    <t>Networking Ports #</t>
  </si>
  <si>
    <t>Legacy</t>
  </si>
  <si>
    <t>Networking Port Cost</t>
  </si>
  <si>
    <t>Networking Port Ext Cost</t>
  </si>
  <si>
    <t># of Servers Liqid</t>
  </si>
  <si>
    <t>Fabric Cost</t>
  </si>
  <si>
    <t>Fabric Power</t>
  </si>
  <si>
    <t>Primary Inputs</t>
  </si>
  <si>
    <t>Secondary Inputs</t>
  </si>
  <si>
    <t>% Savings</t>
  </si>
  <si>
    <t>TCO Analysis Tool</t>
  </si>
  <si>
    <t>INPUTS</t>
  </si>
  <si>
    <t>Legacy TCO</t>
  </si>
  <si>
    <t>Liqid TCO</t>
  </si>
  <si>
    <t>Fabric</t>
  </si>
  <si>
    <t>Power</t>
  </si>
  <si>
    <t>Cost</t>
  </si>
  <si>
    <t>S</t>
  </si>
  <si>
    <t>M</t>
  </si>
  <si>
    <t>L</t>
  </si>
  <si>
    <t>XL</t>
  </si>
  <si>
    <t>Chassis</t>
  </si>
  <si>
    <t>Director</t>
  </si>
  <si>
    <t>Switch</t>
  </si>
  <si>
    <t>Total Power</t>
  </si>
  <si>
    <t>Liqid Fabric Size</t>
  </si>
  <si>
    <t>$ Savings</t>
  </si>
  <si>
    <t>Total Cost of Ownership</t>
  </si>
  <si>
    <t>Data Centre PUE</t>
  </si>
  <si>
    <t>GPUs</t>
  </si>
  <si>
    <t>Servers</t>
  </si>
  <si>
    <t># of Liqid Fabrics</t>
  </si>
  <si>
    <t>Host ports</t>
  </si>
  <si>
    <t>Fabric Decision functions</t>
  </si>
  <si>
    <t>Accelerator Slots</t>
  </si>
  <si>
    <t>Legacy Server Price</t>
  </si>
  <si>
    <t>Legacy Server Power</t>
  </si>
  <si>
    <t>Legacy Accelerator cost</t>
  </si>
  <si>
    <t>Legacy Accelerator power</t>
  </si>
  <si>
    <t>Liqid Server Price</t>
  </si>
  <si>
    <t>Liqid Server Power</t>
  </si>
  <si>
    <t>Liqid Accelerator Power</t>
  </si>
  <si>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</si>
  <si>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</si>
  <si>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</si>
  <si>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</si>
  <si>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</si>
  <si>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</si>
  <si>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</si>
  <si>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</si>
  <si>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</si>
  <si>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</si>
  <si>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</si>
  <si>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</si>
  <si>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</si>
  <si>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</si>
  <si>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</si>
  <si>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</si>
  <si>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</si>
  <si>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</si>
  <si>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</si>
  <si>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</si>
  <si>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</si>
  <si>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</si>
  <si>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</si>
  <si>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</si>
  <si>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</si>
  <si>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</si>
  <si>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</si>
  <si>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</si>
  <si>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</si>
  <si>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</si>
  <si>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</si>
  <si>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</si>
  <si>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</si>
  <si>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</si>
  <si>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</si>
  <si>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</si>
  <si>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</si>
  <si>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</si>
  <si>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</si>
  <si>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</si>
  <si>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</si>
  <si>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</si>
  <si>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</si>
  <si>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</si>
  <si>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</si>
  <si>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</si>
  <si>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</si>
  <si>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</si>
  <si>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</si>
  <si>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</si>
  <si>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</si>
  <si>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</si>
  <si>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 total</t>
  </si>
  <si>
    <t>WUE</t>
  </si>
  <si>
    <t>Environmental impact</t>
  </si>
  <si>
    <t>% Water reduction</t>
  </si>
  <si>
    <t>Uspace</t>
  </si>
  <si>
    <t>total U</t>
  </si>
  <si>
    <t>U-space</t>
  </si>
  <si>
    <t>Future Fabric capabilities</t>
  </si>
  <si>
    <t>Algeria</t>
  </si>
  <si>
    <t>Argentina</t>
  </si>
  <si>
    <t>Australia</t>
  </si>
  <si>
    <t>Austria</t>
  </si>
  <si>
    <t>Azerbaijan</t>
  </si>
  <si>
    <t>Bangladesh</t>
  </si>
  <si>
    <t>Belarus</t>
  </si>
  <si>
    <t>Belgium</t>
  </si>
  <si>
    <t>Brazil</t>
  </si>
  <si>
    <t>Bulgaria</t>
  </si>
  <si>
    <t>Canada</t>
  </si>
  <si>
    <t>Chile</t>
  </si>
  <si>
    <t>China</t>
  </si>
  <si>
    <t>Colombia</t>
  </si>
  <si>
    <t>Croatia</t>
  </si>
  <si>
    <t>Cyprus</t>
  </si>
  <si>
    <t>Czechia</t>
  </si>
  <si>
    <t>Denmark</t>
  </si>
  <si>
    <t>Ecuador</t>
  </si>
  <si>
    <t>Egypt</t>
  </si>
  <si>
    <t>Estonia</t>
  </si>
  <si>
    <t>Finland</t>
  </si>
  <si>
    <t>France</t>
  </si>
  <si>
    <t>Germany</t>
  </si>
  <si>
    <t>Greece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</si>
  <si>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</si>
  <si>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</si>
  <si>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</si>
  <si>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</si>
  <si>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</si>
  <si>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</si>
  <si>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</si>
  <si>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</si>
  <si>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</si>
  <si>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</si>
  <si>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Japan</t>
  </si>
  <si>
    <t>Kazakhstan</t>
  </si>
  <si>
    <t>Kuwait</t>
  </si>
  <si>
    <t>Latvia</t>
  </si>
  <si>
    <t>Lithuania</t>
  </si>
  <si>
    <t>Luxembourg</t>
  </si>
  <si>
    <t>Malaysia</t>
  </si>
  <si>
    <t>Mexico</t>
  </si>
  <si>
    <t>Morocco</t>
  </si>
  <si>
    <t>Netherlands</t>
  </si>
  <si>
    <t>New Zealand</t>
  </si>
  <si>
    <t>North Macedonia</t>
  </si>
  <si>
    <t>Norway</t>
  </si>
  <si>
    <t>Oman</t>
  </si>
  <si>
    <t>Pakistan</t>
  </si>
  <si>
    <t>Peru</t>
  </si>
  <si>
    <t>Philippines</t>
  </si>
  <si>
    <t>Poland</t>
  </si>
  <si>
    <t>Portugal</t>
  </si>
  <si>
    <t>Qatar</t>
  </si>
  <si>
    <t>Romania</t>
  </si>
  <si>
    <t>Russia</t>
  </si>
  <si>
    <t>Saudi Arabia</t>
  </si>
  <si>
    <t>Singapore</t>
  </si>
  <si>
    <t>Slovakia</t>
  </si>
  <si>
    <t>Slovenia</t>
  </si>
  <si>
    <t>South Africa</t>
  </si>
  <si>
    <t>South Korea</t>
  </si>
  <si>
    <t>Spain</t>
  </si>
  <si>
    <t>Sri Lanka</t>
  </si>
  <si>
    <t>Sweden</t>
  </si>
  <si>
    <t>Switzerland</t>
  </si>
  <si>
    <t>Taiwan</t>
  </si>
  <si>
    <t>Thailand</t>
  </si>
  <si>
    <t>Trinidad and Tobago</t>
  </si>
  <si>
    <t>Turkey</t>
  </si>
  <si>
    <t>Turkmenistan</t>
  </si>
  <si>
    <t>Ukraine</t>
  </si>
  <si>
    <t>United Arab Emirates</t>
  </si>
  <si>
    <t>United Kingdom</t>
  </si>
  <si>
    <t>United States</t>
  </si>
  <si>
    <t>Uzbekistan</t>
  </si>
  <si>
    <t>Venezuela</t>
  </si>
  <si>
    <t>Vietnam</t>
  </si>
  <si>
    <t>Africa</t>
  </si>
  <si>
    <t>Antarctica</t>
  </si>
  <si>
    <t>Asia</t>
  </si>
  <si>
    <t>Asia (excl. China and India)</t>
  </si>
  <si>
    <t>Europe</t>
  </si>
  <si>
    <t>Europe (excl. EU-27)</t>
  </si>
  <si>
    <t>Europe (excl. EU-28)</t>
  </si>
  <si>
    <t>European Union (27)</t>
  </si>
  <si>
    <t>European Union (28)</t>
  </si>
  <si>
    <t>High-income countries</t>
  </si>
  <si>
    <t>North America</t>
  </si>
  <si>
    <t>North America (excl. USA)</t>
  </si>
  <si>
    <t>South America</t>
  </si>
  <si>
    <t>World</t>
  </si>
  <si>
    <t>Country</t>
  </si>
  <si>
    <t>kg/kw-hr</t>
  </si>
  <si>
    <t>Solution region</t>
  </si>
  <si>
    <t>SW License Cost / Server</t>
  </si>
  <si>
    <t>Liqid Accelerator Cost</t>
  </si>
  <si>
    <t># accel based</t>
  </si>
  <si>
    <t># servers based</t>
  </si>
  <si>
    <t>Percent</t>
  </si>
  <si>
    <t>Liqid Power Advantage</t>
  </si>
  <si>
    <t># of Legacy Servers</t>
  </si>
  <si>
    <t>Legacy Accelerator / Server</t>
  </si>
  <si>
    <t>Accelerator Power</t>
  </si>
  <si>
    <t>Liqid Price Ext</t>
  </si>
  <si>
    <t>Liqid Power</t>
  </si>
  <si>
    <t>Accelerator #</t>
  </si>
  <si>
    <t>Accelerator Price</t>
  </si>
  <si>
    <t>Accelerator Ext Cost</t>
  </si>
  <si>
    <t>Accelerator Ext Power</t>
  </si>
  <si>
    <t>Additional Savings</t>
  </si>
  <si>
    <t>Total Solution Power</t>
  </si>
  <si>
    <t>Networking Cost / Per Port</t>
  </si>
  <si>
    <t>TCO Analysis</t>
  </si>
  <si>
    <t>TCO Analysis Summary Output</t>
  </si>
  <si>
    <t>Legacy Total Accelerators</t>
  </si>
  <si>
    <t>Legacy Accelerator Type</t>
  </si>
  <si>
    <t>Liqid Total Accelerators</t>
  </si>
  <si>
    <t>Liqid Accelerator Type</t>
  </si>
  <si>
    <t>Liqid Water Consumtion (Liters)</t>
  </si>
  <si>
    <t>Water Consumption L/hr</t>
  </si>
  <si>
    <t>CO2 Output kg/hr</t>
  </si>
  <si>
    <t>Environmental Inputs</t>
  </si>
  <si>
    <t>Liqid Price Adjustment</t>
  </si>
  <si>
    <t>Legacy CO2 5yr (tons)</t>
  </si>
  <si>
    <t>Liqid CO2 5yr (tons)</t>
  </si>
  <si>
    <t>Legacy Water Consumtion (MegaL)</t>
  </si>
  <si>
    <t>% CO2 reduction 5 yr</t>
  </si>
  <si>
    <t>GPU list</t>
  </si>
  <si>
    <t>H100</t>
  </si>
  <si>
    <t>L40</t>
  </si>
  <si>
    <t>L40s</t>
  </si>
  <si>
    <t>Price</t>
  </si>
  <si>
    <t>A40</t>
  </si>
  <si>
    <t>L4</t>
  </si>
  <si>
    <t>H100 NVL</t>
  </si>
  <si>
    <t>A16</t>
  </si>
  <si>
    <t>A30x</t>
  </si>
  <si>
    <t>RTX 6000/8000</t>
  </si>
  <si>
    <t>RTX A6000</t>
  </si>
  <si>
    <t>A10</t>
  </si>
  <si>
    <t>A30</t>
  </si>
  <si>
    <t>Intel MAX 1100</t>
  </si>
  <si>
    <t>Intel Flex 170</t>
  </si>
  <si>
    <t>Intel Flex 140</t>
  </si>
  <si>
    <t>AMD MI100</t>
  </si>
  <si>
    <t>AMD MI210</t>
  </si>
  <si>
    <t>CO2 reduction (Tons) 5yr</t>
  </si>
  <si>
    <t>Comments</t>
  </si>
  <si>
    <t>PNY Pricing</t>
  </si>
  <si>
    <t>Xbyte</t>
  </si>
  <si>
    <t>Alibaba $2.7K, Wiredzone $2.1K, Viperatech $3K</t>
  </si>
  <si>
    <t>CDW shows $5.6K, Dell $2.2K, wiredzone $1.7K</t>
  </si>
  <si>
    <t>EOL per Exxact Amz $1.2K, Newegg $1.3K, ETB $1.5K</t>
  </si>
  <si>
    <t>Water Conservation (Mega Liters)</t>
  </si>
  <si>
    <t>OUTPUTS</t>
  </si>
  <si>
    <t>SUMMARY</t>
  </si>
  <si>
    <t>1TB DDR5</t>
  </si>
  <si>
    <t>Power Summary</t>
  </si>
  <si>
    <t>Legacy Power ($)</t>
  </si>
  <si>
    <t>Legacy Power (W)</t>
  </si>
  <si>
    <t>Liqid Power (W)</t>
  </si>
  <si>
    <t>Liqid Power ($)</t>
  </si>
  <si>
    <t>Rev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</si>
</sst>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#,##0.0"/>
    <numFmt numFmtId="165" formatCode="&quot;$&quot;#,##0"/>
  </numFmts>
  <fonts count="18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8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i/>
      <sz val="12"/>
      <color theme="1"/>
      <name val="Calibri"/>
      <family val="2"/>
    </font>
    <font>
      <b/>
      <i/>
      <sz val="10"/>
      <color theme="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color rgb="FF5B5B5B"/>
      <name val="Arial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i/>
      <sz val="12"/>
      <color rgb="FFFF0000"/>
      <name val="Calibri"/>
      <family val="2"/>
    </font>
    <font>
      <i/>
      <sz val="12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0096D7"/>
      </bottom>
      <diagonal/>
    </border>
    <border>
      <left/>
      <right/>
      <top/>
      <bottom style="medium">
        <color rgb="FF0096D7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F2F2F2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3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6" fontId="4" fillId="0" borderId="0" xfId="0" applyNumberFormat="1" applyFont="1" applyAlignment="1">
      <alignment horizontal="center"/>
    </xf>
    <xf numFmtId="6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8" fontId="4" fillId="0" borderId="4" xfId="0" applyNumberFormat="1" applyFont="1" applyBorder="1" applyAlignment="1">
      <alignment horizontal="center"/>
    </xf>
    <xf numFmtId="6" fontId="4" fillId="0" borderId="6" xfId="0" applyNumberFormat="1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6" fontId="4" fillId="0" borderId="12" xfId="0" applyNumberFormat="1" applyFont="1" applyBorder="1" applyAlignment="1">
      <alignment horizontal="center"/>
    </xf>
    <xf numFmtId="6" fontId="4" fillId="0" borderId="13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9" fontId="7" fillId="4" borderId="6" xfId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0" fillId="0" borderId="23" xfId="3" applyFont="1" applyBorder="1" applyAlignment="1">
      <alignment horizontal="left"/>
    </xf>
    <xf numFmtId="0" fontId="10" fillId="0" borderId="23" xfId="3" applyFont="1" applyBorder="1" applyAlignment="1">
      <alignment horizontal="right"/>
    </xf>
    <xf numFmtId="0" fontId="9" fillId="0" borderId="24" xfId="3" applyFont="1" applyBorder="1"/>
    <xf numFmtId="164" fontId="9" fillId="0" borderId="0" xfId="3" applyNumberFormat="1" applyFont="1"/>
    <xf numFmtId="164" fontId="9" fillId="0" borderId="24" xfId="3" applyNumberFormat="1" applyFont="1" applyBorder="1"/>
    <xf numFmtId="0" fontId="9" fillId="0" borderId="0" xfId="3" applyFont="1"/>
    <xf numFmtId="0" fontId="7" fillId="4" borderId="1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4" fillId="0" borderId="25" xfId="0" applyFont="1" applyBorder="1"/>
    <xf numFmtId="0" fontId="4" fillId="0" borderId="26" xfId="0" applyFont="1" applyBorder="1" applyAlignment="1">
      <alignment horizontal="center"/>
    </xf>
    <xf numFmtId="0" fontId="4" fillId="0" borderId="27" xfId="0" applyFont="1" applyBorder="1"/>
    <xf numFmtId="0" fontId="4" fillId="0" borderId="28" xfId="0" applyFont="1" applyBorder="1" applyAlignment="1">
      <alignment horizontal="center"/>
    </xf>
    <xf numFmtId="0" fontId="11" fillId="5" borderId="29" xfId="0" applyFont="1" applyFill="1" applyBorder="1" applyAlignment="1">
      <alignment horizontal="left" vertical="center" wrapText="1" indent="1"/>
    </xf>
    <xf numFmtId="0" fontId="11" fillId="5" borderId="0" xfId="0" applyFont="1" applyFill="1" applyAlignment="1">
      <alignment horizontal="right" indent="1"/>
    </xf>
    <xf numFmtId="0" fontId="11" fillId="6" borderId="29" xfId="0" applyFont="1" applyFill="1" applyBorder="1" applyAlignment="1">
      <alignment horizontal="left" vertical="center" wrapText="1" indent="1"/>
    </xf>
    <xf numFmtId="0" fontId="11" fillId="6" borderId="0" xfId="0" applyFont="1" applyFill="1" applyAlignment="1">
      <alignment horizontal="right" indent="1"/>
    </xf>
    <xf numFmtId="14" fontId="4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19" xfId="2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6" fontId="5" fillId="0" borderId="4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8" fontId="4" fillId="0" borderId="0" xfId="0" applyNumberFormat="1" applyFont="1" applyAlignment="1">
      <alignment horizontal="center"/>
    </xf>
    <xf numFmtId="1" fontId="4" fillId="0" borderId="18" xfId="2" applyNumberFormat="1" applyFont="1" applyBorder="1" applyAlignment="1">
      <alignment horizontal="center"/>
    </xf>
    <xf numFmtId="6" fontId="5" fillId="0" borderId="0" xfId="0" applyNumberFormat="1" applyFont="1" applyAlignment="1">
      <alignment horizontal="center"/>
    </xf>
    <xf numFmtId="6" fontId="5" fillId="0" borderId="21" xfId="0" applyNumberFormat="1" applyFont="1" applyBorder="1" applyAlignment="1">
      <alignment horizontal="center"/>
    </xf>
    <xf numFmtId="6" fontId="5" fillId="0" borderId="22" xfId="0" applyNumberFormat="1" applyFont="1" applyBorder="1" applyAlignment="1">
      <alignment horizontal="center"/>
    </xf>
    <xf numFmtId="0" fontId="7" fillId="4" borderId="31" xfId="0" applyFont="1" applyFill="1" applyBorder="1" applyAlignment="1">
      <alignment horizontal="left"/>
    </xf>
    <xf numFmtId="6" fontId="7" fillId="4" borderId="32" xfId="0" applyNumberFormat="1" applyFont="1" applyFill="1" applyBorder="1" applyAlignment="1">
      <alignment horizontal="center"/>
    </xf>
    <xf numFmtId="0" fontId="7" fillId="4" borderId="25" xfId="0" applyFont="1" applyFill="1" applyBorder="1" applyAlignment="1">
      <alignment horizontal="left"/>
    </xf>
    <xf numFmtId="9" fontId="7" fillId="4" borderId="26" xfId="1" applyFont="1" applyFill="1" applyBorder="1" applyAlignment="1">
      <alignment horizontal="center"/>
    </xf>
    <xf numFmtId="1" fontId="7" fillId="4" borderId="2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30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9" fontId="4" fillId="0" borderId="4" xfId="0" applyNumberFormat="1" applyFont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6" fontId="4" fillId="0" borderId="2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9" fontId="4" fillId="0" borderId="9" xfId="0" applyNumberFormat="1" applyFont="1" applyBorder="1" applyAlignment="1">
      <alignment horizontal="center"/>
    </xf>
    <xf numFmtId="165" fontId="17" fillId="0" borderId="4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1" fontId="14" fillId="7" borderId="22" xfId="0" applyNumberFormat="1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17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165" fontId="4" fillId="0" borderId="19" xfId="0" applyNumberFormat="1" applyFont="1" applyBorder="1" applyAlignment="1">
      <alignment horizontal="center"/>
    </xf>
    <xf numFmtId="9" fontId="7" fillId="4" borderId="6" xfId="0" applyNumberFormat="1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0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7" xfId="0" applyFont="1" applyBorder="1"/>
    <xf numFmtId="0" fontId="4" fillId="0" borderId="2" xfId="0" applyFont="1" applyBorder="1"/>
    <xf numFmtId="0" fontId="4" fillId="0" borderId="36" xfId="0" applyFont="1" applyBorder="1"/>
    <xf numFmtId="0" fontId="4" fillId="0" borderId="37" xfId="0" applyFont="1" applyBorder="1"/>
    <xf numFmtId="0" fontId="4" fillId="0" borderId="38" xfId="0" applyFont="1" applyBorder="1"/>
    <xf numFmtId="10" fontId="4" fillId="0" borderId="37" xfId="0" applyNumberFormat="1" applyFont="1" applyBorder="1"/>
    <xf numFmtId="10" fontId="4" fillId="0" borderId="38" xfId="0" applyNumberFormat="1" applyFont="1" applyBorder="1"/>
    <xf numFmtId="0" fontId="4" fillId="0" borderId="30" xfId="0" applyFont="1" applyBorder="1" applyAlignment="1">
      <alignment horizontal="center"/>
    </xf>
    <xf numFmtId="6" fontId="4" fillId="0" borderId="30" xfId="0" applyNumberFormat="1" applyFont="1" applyBorder="1" applyAlignment="1">
      <alignment horizontal="center"/>
    </xf>
    <xf numFmtId="0" fontId="4" fillId="0" borderId="31" xfId="0" applyFont="1" applyBorder="1"/>
    <xf numFmtId="0" fontId="4" fillId="0" borderId="39" xfId="0" applyFont="1" applyBorder="1"/>
    <xf numFmtId="0" fontId="4" fillId="0" borderId="32" xfId="0" applyFont="1" applyBorder="1"/>
    <xf numFmtId="0" fontId="4" fillId="0" borderId="40" xfId="0" applyFont="1" applyBorder="1"/>
    <xf numFmtId="0" fontId="4" fillId="0" borderId="41" xfId="0" applyFont="1" applyBorder="1" applyAlignment="1">
      <alignment horizontal="center"/>
    </xf>
    <xf numFmtId="4" fontId="4" fillId="0" borderId="35" xfId="0" applyNumberFormat="1" applyFont="1" applyBorder="1"/>
    <xf numFmtId="4" fontId="4" fillId="0" borderId="42" xfId="0" applyNumberFormat="1" applyFont="1" applyBorder="1"/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2" borderId="3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9" fontId="7" fillId="0" borderId="0" xfId="1" applyFont="1" applyFill="1" applyBorder="1" applyAlignment="1">
      <alignment horizontal="center"/>
    </xf>
  </cellXfs>
  <cellStyles count="5">
    <cellStyle name="Comma" xfId="2" builtinId="3"/>
    <cellStyle name="Normal" xfId="0" builtinId="0"/>
    <cellStyle name="Normal 2" xfId="3" xr:uid="{1EB7D9FF-5D29-4EFB-9EA7-EB6B4B384D98}"/>
    <cellStyle name="Percent" xfId="1" builtinId="5"/>
    <cellStyle name="Percent 2" xfId="4" xr:uid="{ADDF9BD5-9344-43A4-B9B4-452D1E4AD775}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68AC3-DA29-5E4F-98F1-AFF96623759B}">
  <dimension ref="A1:M42"/>
  <sheetViews>
    <sheetView tabSelected="1" zoomScale="130" zoomScaleNormal="130" workbookViewId="0">
      <selection activeCell="D2" sqref="D2"/>
    </sheetView>
  </sheetViews>
  <sheetFormatPr baseColWidth="10" defaultColWidth="10.83203125" defaultRowHeight="16" x14ac:dyDescent="0.2"/>
  <cols>
    <col min="1" max="1" width="23.33203125" style="2" bestFit="1" customWidth="1"/>
    <col min="2" max="2" width="30.33203125" style="2" customWidth="1"/>
    <col min="3" max="3" width="12" style="2" customWidth="1"/>
    <col min="4" max="4" width="26.1640625" style="2" bestFit="1" customWidth="1"/>
    <col min="5" max="5" width="13.1640625" style="2" bestFit="1" customWidth="1"/>
    <col min="6" max="6" width="11.1640625" style="2" bestFit="1" customWidth="1"/>
    <col min="7" max="7" width="8.83203125" style="2" customWidth="1"/>
    <col min="8" max="8" width="30.6640625" style="2" customWidth="1"/>
    <col min="9" max="9" width="23.33203125" style="2" bestFit="1" customWidth="1"/>
    <col min="10" max="10" width="11.5" style="2" bestFit="1" customWidth="1"/>
    <col min="11" max="11" width="24.6640625" style="2" bestFit="1" customWidth="1"/>
    <col min="12" max="16384" width="10.83203125" style="2"/>
  </cols>
  <sheetData>
    <row r="1" spans="1:13" ht="25" customHeight="1" thickBot="1" x14ac:dyDescent="0.25">
      <c r="A1" s="130" t="s">
        <v>24</v>
      </c>
      <c r="B1" s="131"/>
      <c r="C1" s="49">
        <v>45629</v>
      </c>
      <c r="D1" s="128" t="s">
        <v>280</v>
      </c>
      <c r="E1" s="128"/>
      <c r="F1" s="129"/>
      <c r="I1" s="1" t="e" vm="1">
        <v>#VALUE!</v>
      </c>
    </row>
    <row r="2" spans="1:13" ht="24" x14ac:dyDescent="0.3">
      <c r="B2" s="50"/>
      <c r="C2" s="51"/>
      <c r="D2" s="1"/>
    </row>
    <row r="3" spans="1:13" ht="17" thickBot="1" x14ac:dyDescent="0.25">
      <c r="B3" s="14" t="s">
        <v>25</v>
      </c>
      <c r="E3" s="132" t="s">
        <v>272</v>
      </c>
      <c r="F3" s="132"/>
      <c r="I3" s="14" t="s">
        <v>273</v>
      </c>
    </row>
    <row r="4" spans="1:13" ht="17" thickBot="1" x14ac:dyDescent="0.25">
      <c r="A4" s="114" t="s">
        <v>21</v>
      </c>
      <c r="B4" s="115"/>
      <c r="D4" s="28" t="s">
        <v>230</v>
      </c>
      <c r="E4" s="3" t="s">
        <v>15</v>
      </c>
      <c r="F4" s="4" t="s">
        <v>9</v>
      </c>
      <c r="H4" s="114" t="s">
        <v>231</v>
      </c>
      <c r="I4" s="115"/>
      <c r="M4"/>
    </row>
    <row r="5" spans="1:13" x14ac:dyDescent="0.2">
      <c r="A5" s="7" t="s">
        <v>232</v>
      </c>
      <c r="B5" s="78">
        <v>30</v>
      </c>
      <c r="D5" s="7" t="s">
        <v>0</v>
      </c>
      <c r="E5" s="15">
        <f>B7</f>
        <v>8</v>
      </c>
      <c r="F5" s="16">
        <f>B10</f>
        <v>1</v>
      </c>
      <c r="H5" s="31" t="s">
        <v>26</v>
      </c>
      <c r="I5" s="9">
        <f>E37</f>
        <v>833218.75</v>
      </c>
    </row>
    <row r="6" spans="1:13" ht="17" thickBot="1" x14ac:dyDescent="0.25">
      <c r="A6" s="5" t="s">
        <v>233</v>
      </c>
      <c r="B6" s="75" t="s">
        <v>248</v>
      </c>
      <c r="D6" s="5" t="s">
        <v>1</v>
      </c>
      <c r="E6" s="8">
        <f>B18</f>
        <v>25000</v>
      </c>
      <c r="F6" s="9">
        <f>B22</f>
        <v>25000</v>
      </c>
      <c r="H6" s="31" t="s">
        <v>27</v>
      </c>
      <c r="I6" s="9">
        <f>F37</f>
        <v>499731.875</v>
      </c>
    </row>
    <row r="7" spans="1:13" x14ac:dyDescent="0.2">
      <c r="A7" s="5" t="s">
        <v>218</v>
      </c>
      <c r="B7" s="73">
        <v>8</v>
      </c>
      <c r="D7" s="5" t="s">
        <v>3</v>
      </c>
      <c r="E7" s="8">
        <f>E6*E5</f>
        <v>200000</v>
      </c>
      <c r="F7" s="9">
        <f>F6*F5</f>
        <v>25000</v>
      </c>
      <c r="H7" s="65" t="s">
        <v>40</v>
      </c>
      <c r="I7" s="66">
        <f>I5-I6</f>
        <v>333486.875</v>
      </c>
    </row>
    <row r="8" spans="1:13" ht="17" thickBot="1" x14ac:dyDescent="0.25">
      <c r="A8" s="22" t="s">
        <v>234</v>
      </c>
      <c r="B8" s="85">
        <v>30</v>
      </c>
      <c r="D8" s="5" t="s">
        <v>5</v>
      </c>
      <c r="E8" s="1">
        <f>B19</f>
        <v>1500</v>
      </c>
      <c r="F8" s="6">
        <f>B23*(1-B26)</f>
        <v>1350</v>
      </c>
      <c r="H8" s="67" t="s">
        <v>23</v>
      </c>
      <c r="I8" s="68">
        <f>(I7/I5)</f>
        <v>0.40023928290139893</v>
      </c>
    </row>
    <row r="9" spans="1:13" ht="17" thickBot="1" x14ac:dyDescent="0.25">
      <c r="A9" s="5" t="s">
        <v>235</v>
      </c>
      <c r="B9" s="75" t="s">
        <v>248</v>
      </c>
      <c r="D9" s="17" t="s">
        <v>7</v>
      </c>
      <c r="E9" s="18">
        <f>E8*E5</f>
        <v>12000</v>
      </c>
      <c r="F9" s="19">
        <f>F8*F5</f>
        <v>1350</v>
      </c>
      <c r="H9" s="133"/>
      <c r="I9" s="134"/>
    </row>
    <row r="10" spans="1:13" ht="17" thickBot="1" x14ac:dyDescent="0.25">
      <c r="A10" s="5" t="s">
        <v>18</v>
      </c>
      <c r="B10" s="73">
        <v>1</v>
      </c>
      <c r="D10" s="120"/>
      <c r="E10" s="121"/>
      <c r="F10" s="122"/>
      <c r="H10" s="114" t="s">
        <v>275</v>
      </c>
      <c r="I10" s="115"/>
    </row>
    <row r="11" spans="1:13" x14ac:dyDescent="0.2">
      <c r="A11" s="17" t="s">
        <v>39</v>
      </c>
      <c r="B11" s="86" t="s">
        <v>33</v>
      </c>
      <c r="D11" s="22" t="s">
        <v>2</v>
      </c>
      <c r="E11" s="23">
        <v>0</v>
      </c>
      <c r="F11" s="24">
        <f>B12</f>
        <v>1</v>
      </c>
      <c r="H11" s="31" t="s">
        <v>277</v>
      </c>
      <c r="I11" s="52">
        <f>E25</f>
        <v>28125</v>
      </c>
    </row>
    <row r="12" spans="1:13" x14ac:dyDescent="0.2">
      <c r="A12" s="5" t="s">
        <v>45</v>
      </c>
      <c r="B12" s="30">
        <f>MAX(Data!B17:B18)</f>
        <v>1</v>
      </c>
      <c r="D12" s="5" t="s">
        <v>4</v>
      </c>
      <c r="E12" s="8">
        <v>0</v>
      </c>
      <c r="F12" s="9">
        <f>B13</f>
        <v>85500</v>
      </c>
      <c r="H12" s="31" t="s">
        <v>276</v>
      </c>
      <c r="I12" s="9">
        <f>E27</f>
        <v>307968.75</v>
      </c>
    </row>
    <row r="13" spans="1:13" x14ac:dyDescent="0.2">
      <c r="A13" s="5" t="s">
        <v>19</v>
      </c>
      <c r="B13" s="9">
        <f>VLOOKUP(B11,Data!B3:D6,3,FALSE)*(1-B36)</f>
        <v>85500</v>
      </c>
      <c r="D13" s="5" t="s">
        <v>221</v>
      </c>
      <c r="E13" s="8">
        <v>0</v>
      </c>
      <c r="F13" s="9">
        <f>F12*F11</f>
        <v>85500</v>
      </c>
      <c r="H13" s="31" t="s">
        <v>278</v>
      </c>
      <c r="I13" s="52">
        <f>F25</f>
        <v>15112.5</v>
      </c>
    </row>
    <row r="14" spans="1:13" ht="17" thickBot="1" x14ac:dyDescent="0.25">
      <c r="A14" s="5" t="s">
        <v>20</v>
      </c>
      <c r="B14" s="6">
        <f>VLOOKUP(B11,Data!B3:D6,2,FALSE)</f>
        <v>1290</v>
      </c>
      <c r="D14" s="5" t="s">
        <v>222</v>
      </c>
      <c r="E14" s="58">
        <v>0</v>
      </c>
      <c r="F14" s="52">
        <f>B14</f>
        <v>1290</v>
      </c>
      <c r="H14" s="31" t="s">
        <v>279</v>
      </c>
      <c r="I14" s="9">
        <f>F27</f>
        <v>165481.875</v>
      </c>
    </row>
    <row r="15" spans="1:13" ht="17" thickBot="1" x14ac:dyDescent="0.25">
      <c r="A15" s="83" t="s">
        <v>219</v>
      </c>
      <c r="B15" s="84">
        <f>ROUNDUP(B5/B7,0)</f>
        <v>4</v>
      </c>
      <c r="D15" s="5" t="s">
        <v>6</v>
      </c>
      <c r="E15" s="58">
        <v>0</v>
      </c>
      <c r="F15" s="52">
        <f>F14*F11</f>
        <v>1290</v>
      </c>
      <c r="H15" s="65" t="s">
        <v>40</v>
      </c>
      <c r="I15" s="66">
        <f>I12-I14</f>
        <v>142486.875</v>
      </c>
    </row>
    <row r="16" spans="1:13" ht="17" thickBot="1" x14ac:dyDescent="0.25">
      <c r="D16" s="120"/>
      <c r="E16" s="121"/>
      <c r="F16" s="122"/>
      <c r="H16" s="67" t="s">
        <v>23</v>
      </c>
      <c r="I16" s="68">
        <f>(I15/I12)</f>
        <v>0.46266666666666667</v>
      </c>
    </row>
    <row r="17" spans="1:9" ht="17" thickBot="1" x14ac:dyDescent="0.25">
      <c r="A17" s="118" t="s">
        <v>22</v>
      </c>
      <c r="B17" s="119"/>
      <c r="D17" s="56" t="s">
        <v>223</v>
      </c>
      <c r="E17" s="58">
        <f>B5</f>
        <v>30</v>
      </c>
      <c r="F17" s="52">
        <f>B8</f>
        <v>30</v>
      </c>
    </row>
    <row r="18" spans="1:9" ht="17" thickBot="1" x14ac:dyDescent="0.25">
      <c r="A18" s="74" t="s">
        <v>49</v>
      </c>
      <c r="B18" s="79">
        <v>25000</v>
      </c>
      <c r="D18" s="56" t="s">
        <v>224</v>
      </c>
      <c r="E18" s="59">
        <f>B20</f>
        <v>6975</v>
      </c>
      <c r="F18" s="9">
        <f>B24</f>
        <v>6975</v>
      </c>
      <c r="H18" s="114" t="s">
        <v>110</v>
      </c>
      <c r="I18" s="115"/>
    </row>
    <row r="19" spans="1:9" x14ac:dyDescent="0.2">
      <c r="A19" s="31" t="s">
        <v>50</v>
      </c>
      <c r="B19" s="6">
        <v>1500</v>
      </c>
      <c r="D19" s="56" t="s">
        <v>225</v>
      </c>
      <c r="E19" s="8">
        <f>E18*E17</f>
        <v>209250</v>
      </c>
      <c r="F19" s="9">
        <f>F18*F17</f>
        <v>209250</v>
      </c>
      <c r="H19" s="31" t="s">
        <v>241</v>
      </c>
      <c r="I19" s="52">
        <f>((8760*E40)*5)*0.00110231</f>
        <v>258.00254493749998</v>
      </c>
    </row>
    <row r="20" spans="1:9" x14ac:dyDescent="0.2">
      <c r="A20" s="31" t="s">
        <v>51</v>
      </c>
      <c r="B20" s="82">
        <f>VLOOKUP(B6,Data!A34:C51,2,FALSE)</f>
        <v>6975</v>
      </c>
      <c r="D20" s="56" t="s">
        <v>220</v>
      </c>
      <c r="E20" s="58">
        <f>B21</f>
        <v>350</v>
      </c>
      <c r="F20" s="52">
        <f>B25*(1-B26)</f>
        <v>315</v>
      </c>
      <c r="H20" s="31" t="s">
        <v>242</v>
      </c>
      <c r="I20" s="52">
        <f>((8760*F40)*5)*0.00110231</f>
        <v>138.63336747974998</v>
      </c>
    </row>
    <row r="21" spans="1:9" x14ac:dyDescent="0.2">
      <c r="A21" s="87" t="s">
        <v>52</v>
      </c>
      <c r="B21" s="88">
        <f>VLOOKUP(B6,Data!A34:C51,3,FALSE)</f>
        <v>350</v>
      </c>
      <c r="D21" s="56" t="s">
        <v>226</v>
      </c>
      <c r="E21" s="1">
        <f>E20*E17</f>
        <v>10500</v>
      </c>
      <c r="F21" s="52">
        <f>F20*F17</f>
        <v>9450</v>
      </c>
      <c r="H21" s="31" t="s">
        <v>243</v>
      </c>
      <c r="I21" s="52">
        <f>(E41*1.8*8750)*0.000001</f>
        <v>797.34375</v>
      </c>
    </row>
    <row r="22" spans="1:9" ht="17" thickBot="1" x14ac:dyDescent="0.25">
      <c r="A22" s="89" t="s">
        <v>53</v>
      </c>
      <c r="B22" s="90">
        <v>25000</v>
      </c>
      <c r="D22" s="125"/>
      <c r="E22" s="126"/>
      <c r="F22" s="127"/>
      <c r="H22" s="31" t="s">
        <v>236</v>
      </c>
      <c r="I22" s="52">
        <f>(F41*1.8*8760)*0.000001</f>
        <v>428.92901999999998</v>
      </c>
    </row>
    <row r="23" spans="1:9" x14ac:dyDescent="0.2">
      <c r="A23" s="31" t="s">
        <v>54</v>
      </c>
      <c r="B23" s="6">
        <v>1500</v>
      </c>
      <c r="D23" s="22" t="s">
        <v>228</v>
      </c>
      <c r="E23" s="61">
        <f>E21+E15+E9</f>
        <v>22500</v>
      </c>
      <c r="F23" s="53">
        <f>F21+F15+F9</f>
        <v>12090</v>
      </c>
      <c r="H23" s="39" t="s">
        <v>264</v>
      </c>
      <c r="I23" s="69">
        <f>I19-I20</f>
        <v>119.36917745775</v>
      </c>
    </row>
    <row r="24" spans="1:9" ht="17" thickBot="1" x14ac:dyDescent="0.25">
      <c r="A24" s="31" t="s">
        <v>213</v>
      </c>
      <c r="B24" s="82">
        <f>VLOOKUP(B9,Data!A34:C51,2,FALSE)</f>
        <v>6975</v>
      </c>
      <c r="D24" s="5" t="s">
        <v>42</v>
      </c>
      <c r="E24" s="1">
        <f>B32</f>
        <v>1.25</v>
      </c>
      <c r="F24" s="6">
        <f>B32</f>
        <v>1.25</v>
      </c>
      <c r="H24" s="40" t="s">
        <v>244</v>
      </c>
      <c r="I24" s="29">
        <f>(I19-I20)/I19</f>
        <v>0.46266666666666673</v>
      </c>
    </row>
    <row r="25" spans="1:9" x14ac:dyDescent="0.2">
      <c r="A25" s="87" t="s">
        <v>55</v>
      </c>
      <c r="B25" s="88">
        <f>VLOOKUP(B9,Data!A34:C51,3,FALSE)</f>
        <v>350</v>
      </c>
      <c r="D25" s="5" t="s">
        <v>38</v>
      </c>
      <c r="E25" s="58">
        <f>E23*E24</f>
        <v>28125</v>
      </c>
      <c r="F25" s="52">
        <f>F23*F24</f>
        <v>15112.5</v>
      </c>
      <c r="H25" s="39" t="s">
        <v>271</v>
      </c>
      <c r="I25" s="69">
        <f>I21-I22</f>
        <v>368.41473000000002</v>
      </c>
    </row>
    <row r="26" spans="1:9" ht="17" thickBot="1" x14ac:dyDescent="0.25">
      <c r="A26" s="31" t="s">
        <v>217</v>
      </c>
      <c r="B26" s="77">
        <v>0.1</v>
      </c>
      <c r="D26" s="5" t="s">
        <v>10</v>
      </c>
      <c r="E26" s="60">
        <f>B33</f>
        <v>0.25</v>
      </c>
      <c r="F26" s="12">
        <f>B33</f>
        <v>0.25</v>
      </c>
      <c r="H26" s="40" t="s">
        <v>111</v>
      </c>
      <c r="I26" s="91">
        <f>(I21-I22)/I21</f>
        <v>0.46205257142857148</v>
      </c>
    </row>
    <row r="27" spans="1:9" ht="17" thickBot="1" x14ac:dyDescent="0.25">
      <c r="A27" s="31" t="s">
        <v>212</v>
      </c>
      <c r="B27" s="9">
        <v>12500</v>
      </c>
      <c r="D27" s="17" t="s">
        <v>8</v>
      </c>
      <c r="E27" s="20">
        <f>(E25/1000*E26)*(24*365*5)</f>
        <v>307968.75</v>
      </c>
      <c r="F27" s="21">
        <f>(F25/1000*F26)*(24*365*5)</f>
        <v>165481.875</v>
      </c>
    </row>
    <row r="28" spans="1:9" ht="17" thickBot="1" x14ac:dyDescent="0.25">
      <c r="A28" s="32" t="s">
        <v>229</v>
      </c>
      <c r="B28" s="13">
        <v>2000</v>
      </c>
      <c r="D28" s="125"/>
      <c r="E28" s="126"/>
      <c r="F28" s="127"/>
      <c r="H28" s="116" t="s">
        <v>115</v>
      </c>
      <c r="I28" s="117"/>
    </row>
    <row r="29" spans="1:9" ht="17" thickBot="1" x14ac:dyDescent="0.25">
      <c r="D29" s="22" t="s">
        <v>11</v>
      </c>
      <c r="E29" s="25">
        <f>E5</f>
        <v>8</v>
      </c>
      <c r="F29" s="26">
        <f>F5</f>
        <v>1</v>
      </c>
      <c r="H29" s="43" t="s">
        <v>46</v>
      </c>
      <c r="I29" s="44">
        <f>(VLOOKUP(B11,Data!B3:F6,5,FALSE)*B12)-B10</f>
        <v>5</v>
      </c>
    </row>
    <row r="30" spans="1:9" ht="17" thickBot="1" x14ac:dyDescent="0.25">
      <c r="A30" s="123" t="s">
        <v>239</v>
      </c>
      <c r="B30" s="124"/>
      <c r="D30" s="5" t="s">
        <v>12</v>
      </c>
      <c r="E30" s="8">
        <f>B27</f>
        <v>12500</v>
      </c>
      <c r="F30" s="9">
        <f>E30</f>
        <v>12500</v>
      </c>
      <c r="H30" s="41" t="s">
        <v>48</v>
      </c>
      <c r="I30" s="42">
        <f>B12*VLOOKUP(B11,Data!B3:F6,4,FALSE)-B8</f>
        <v>0</v>
      </c>
    </row>
    <row r="31" spans="1:9" x14ac:dyDescent="0.2">
      <c r="A31" s="74" t="s">
        <v>211</v>
      </c>
      <c r="B31" s="16" t="s">
        <v>191</v>
      </c>
      <c r="D31" s="17" t="s">
        <v>13</v>
      </c>
      <c r="E31" s="20">
        <f>E30*E29</f>
        <v>100000</v>
      </c>
      <c r="F31" s="21">
        <f>F30*F29</f>
        <v>12500</v>
      </c>
    </row>
    <row r="32" spans="1:9" x14ac:dyDescent="0.2">
      <c r="A32" s="31" t="s">
        <v>42</v>
      </c>
      <c r="B32" s="6">
        <v>1.25</v>
      </c>
      <c r="D32" s="5"/>
      <c r="E32" s="8"/>
      <c r="F32" s="9"/>
    </row>
    <row r="33" spans="1:6" x14ac:dyDescent="0.2">
      <c r="A33" s="31" t="s">
        <v>10</v>
      </c>
      <c r="B33" s="12">
        <v>0.25</v>
      </c>
      <c r="D33" s="22" t="s">
        <v>14</v>
      </c>
      <c r="E33" s="25">
        <f>E5</f>
        <v>8</v>
      </c>
      <c r="F33" s="24">
        <f>F5</f>
        <v>1</v>
      </c>
    </row>
    <row r="34" spans="1:6" ht="17" thickBot="1" x14ac:dyDescent="0.25">
      <c r="A34" s="32" t="s">
        <v>109</v>
      </c>
      <c r="B34" s="11">
        <v>1.8</v>
      </c>
      <c r="D34" s="5" t="s">
        <v>16</v>
      </c>
      <c r="E34" s="8">
        <f>B28</f>
        <v>2000</v>
      </c>
      <c r="F34" s="9">
        <f>E34</f>
        <v>2000</v>
      </c>
    </row>
    <row r="35" spans="1:6" ht="17" thickBot="1" x14ac:dyDescent="0.25">
      <c r="D35" s="17" t="s">
        <v>17</v>
      </c>
      <c r="E35" s="20">
        <f>E34*E33</f>
        <v>16000</v>
      </c>
      <c r="F35" s="21">
        <f>F34*F33</f>
        <v>2000</v>
      </c>
    </row>
    <row r="36" spans="1:6" ht="17" thickBot="1" x14ac:dyDescent="0.25">
      <c r="A36" s="80" t="s">
        <v>240</v>
      </c>
      <c r="B36" s="81">
        <v>0.1</v>
      </c>
      <c r="D36" s="54"/>
      <c r="E36" s="62"/>
      <c r="F36" s="55"/>
    </row>
    <row r="37" spans="1:6" ht="20" thickBot="1" x14ac:dyDescent="0.3">
      <c r="D37" s="27" t="s">
        <v>41</v>
      </c>
      <c r="E37" s="63">
        <f>E35+E31+E27+E19+E13+E7</f>
        <v>833218.75</v>
      </c>
      <c r="F37" s="64">
        <f>F35+F31+F27+F19+F13+F7</f>
        <v>499731.875</v>
      </c>
    </row>
    <row r="38" spans="1:6" ht="20" thickBot="1" x14ac:dyDescent="0.3">
      <c r="D38" s="76"/>
      <c r="E38" s="62"/>
      <c r="F38" s="62"/>
    </row>
    <row r="39" spans="1:6" ht="17" thickBot="1" x14ac:dyDescent="0.25">
      <c r="D39" s="28" t="s">
        <v>227</v>
      </c>
      <c r="E39" s="3" t="s">
        <v>15</v>
      </c>
      <c r="F39" s="4" t="s">
        <v>9</v>
      </c>
    </row>
    <row r="40" spans="1:6" x14ac:dyDescent="0.2">
      <c r="D40" s="5" t="s">
        <v>238</v>
      </c>
      <c r="E40" s="70">
        <f>(VLOOKUP(B31,'CO2'!G3:H95,2,FALSE)*(E25/1000))</f>
        <v>5.34375</v>
      </c>
      <c r="F40" s="57">
        <f>(VLOOKUP(B31,'CO2'!G3:H95,2,FALSE)*(F25/1000))</f>
        <v>2.871375</v>
      </c>
    </row>
    <row r="41" spans="1:6" ht="17" thickBot="1" x14ac:dyDescent="0.25">
      <c r="D41" s="10" t="s">
        <v>237</v>
      </c>
      <c r="E41" s="71">
        <f>E25*B34</f>
        <v>50625</v>
      </c>
      <c r="F41" s="72">
        <f>F25*B34</f>
        <v>27202.5</v>
      </c>
    </row>
    <row r="42" spans="1:6" x14ac:dyDescent="0.2">
      <c r="D42" s="1"/>
      <c r="E42" s="1"/>
      <c r="F42" s="1"/>
    </row>
  </sheetData>
  <mergeCells count="14">
    <mergeCell ref="A30:B30"/>
    <mergeCell ref="D16:F16"/>
    <mergeCell ref="D22:F22"/>
    <mergeCell ref="D28:F28"/>
    <mergeCell ref="D1:F1"/>
    <mergeCell ref="A1:B1"/>
    <mergeCell ref="E3:F3"/>
    <mergeCell ref="H4:I4"/>
    <mergeCell ref="H18:I18"/>
    <mergeCell ref="H28:I28"/>
    <mergeCell ref="A4:B4"/>
    <mergeCell ref="A17:B17"/>
    <mergeCell ref="D10:F10"/>
    <mergeCell ref="H10:I10"/>
  </mergeCells>
  <conditionalFormatting sqref="I15:I16 I7:I9">
    <cfRule type="cellIs" dxfId="4" priority="1" operator="greaterThan">
      <formula>0</formula>
    </cfRule>
    <cfRule type="cellIs" dxfId="3" priority="10" operator="lessThan">
      <formula>0</formula>
    </cfRule>
  </conditionalFormatting>
  <conditionalFormatting sqref="I23">
    <cfRule type="cellIs" dxfId="2" priority="9" operator="greaterThan">
      <formula>1</formula>
    </cfRule>
  </conditionalFormatting>
  <conditionalFormatting sqref="I23:I26">
    <cfRule type="cellIs" dxfId="1" priority="2" operator="lessThan">
      <formula>0</formula>
    </cfRule>
  </conditionalFormatting>
  <conditionalFormatting sqref="I24:I26">
    <cfRule type="cellIs" dxfId="0" priority="3" operator="greaterThan">
      <formula>0</formula>
    </cfRule>
  </conditionalFormatting>
  <dataValidations count="1">
    <dataValidation type="list" allowBlank="1" showInputMessage="1" showErrorMessage="1" sqref="B11" xr:uid="{6CAFFB55-5BD7-5B43-9538-44971CB5106F}">
      <formula1>data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9868F81-BF4F-4365-A140-D88F7EEFD71D}">
          <x14:formula1>
            <xm:f>'CO2'!$G$3:$G$95</xm:f>
          </x14:formula1>
          <xm:sqref>B31</xm:sqref>
        </x14:dataValidation>
        <x14:dataValidation type="list" allowBlank="1" showInputMessage="1" showErrorMessage="1" xr:uid="{9366615E-FCDE-468E-B71D-F7056BE09DAF}">
          <x14:formula1>
            <xm:f>Data!$G$17:$G$30</xm:f>
          </x14:formula1>
          <xm:sqref>B36 B26</xm:sqref>
        </x14:dataValidation>
        <x14:dataValidation type="list" allowBlank="1" showInputMessage="1" showErrorMessage="1" xr:uid="{488B084B-3B1F-4BD6-AA17-EED83ACFD75C}">
          <x14:formula1>
            <xm:f>Data!$A$34:$A$51</xm:f>
          </x14:formula1>
          <xm:sqref>B6 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67CF0-62CC-4ACD-9D47-8D121AA2FC90}">
  <dimension ref="A2:H95"/>
  <sheetViews>
    <sheetView zoomScaleNormal="100" workbookViewId="0">
      <selection activeCell="G95" sqref="G95"/>
    </sheetView>
  </sheetViews>
  <sheetFormatPr baseColWidth="10" defaultColWidth="8.83203125" defaultRowHeight="16" x14ac:dyDescent="0.2"/>
  <cols>
    <col min="7" max="7" width="17.5" customWidth="1"/>
  </cols>
  <sheetData>
    <row r="2" spans="1:8" ht="17" thickBot="1" x14ac:dyDescent="0.25">
      <c r="A2" s="33" t="s">
        <v>56</v>
      </c>
      <c r="B2" s="34">
        <v>2022</v>
      </c>
      <c r="G2" s="45" t="s">
        <v>209</v>
      </c>
      <c r="H2" s="46" t="s">
        <v>210</v>
      </c>
    </row>
    <row r="3" spans="1:8" ht="17" thickTop="1" x14ac:dyDescent="0.2">
      <c r="A3" s="38" t="s">
        <v>57</v>
      </c>
      <c r="B3" s="36">
        <v>8.0673700000000004</v>
      </c>
      <c r="G3" s="45" t="s">
        <v>116</v>
      </c>
      <c r="H3" s="46">
        <v>0.25</v>
      </c>
    </row>
    <row r="4" spans="1:8" x14ac:dyDescent="0.2">
      <c r="A4" s="38" t="s">
        <v>58</v>
      </c>
      <c r="B4" s="36">
        <v>14.392289999999999</v>
      </c>
      <c r="G4" s="47" t="s">
        <v>117</v>
      </c>
      <c r="H4" s="48">
        <v>0.19</v>
      </c>
    </row>
    <row r="5" spans="1:8" x14ac:dyDescent="0.2">
      <c r="A5" s="38" t="s">
        <v>59</v>
      </c>
      <c r="B5" s="36">
        <v>3.7844699999999998</v>
      </c>
      <c r="G5" s="45" t="s">
        <v>118</v>
      </c>
      <c r="H5" s="46">
        <v>0.23</v>
      </c>
    </row>
    <row r="6" spans="1:8" x14ac:dyDescent="0.2">
      <c r="A6" s="38" t="s">
        <v>60</v>
      </c>
      <c r="B6" s="36">
        <v>7.6626099999999999</v>
      </c>
      <c r="G6" s="47" t="s">
        <v>119</v>
      </c>
      <c r="H6" s="48">
        <v>0.15</v>
      </c>
    </row>
    <row r="7" spans="1:8" x14ac:dyDescent="0.2">
      <c r="A7" s="38" t="s">
        <v>61</v>
      </c>
      <c r="B7" s="36">
        <v>2.1729799999999999</v>
      </c>
      <c r="G7" s="45" t="s">
        <v>120</v>
      </c>
      <c r="H7" s="46">
        <v>0.19</v>
      </c>
    </row>
    <row r="8" spans="1:8" x14ac:dyDescent="0.2">
      <c r="A8" s="38" t="s">
        <v>62</v>
      </c>
      <c r="B8" s="36">
        <v>3.5184299999999999</v>
      </c>
      <c r="G8" s="47" t="s">
        <v>121</v>
      </c>
      <c r="H8" s="48">
        <v>0.22</v>
      </c>
    </row>
    <row r="9" spans="1:8" x14ac:dyDescent="0.2">
      <c r="A9" s="38" t="s">
        <v>63</v>
      </c>
      <c r="B9" s="36">
        <v>2.5577100000000002</v>
      </c>
      <c r="G9" s="47" t="s">
        <v>122</v>
      </c>
      <c r="H9" s="48">
        <v>0.19</v>
      </c>
    </row>
    <row r="10" spans="1:8" x14ac:dyDescent="0.2">
      <c r="A10" s="38" t="s">
        <v>64</v>
      </c>
      <c r="B10" s="36">
        <v>3.6556299999999999</v>
      </c>
      <c r="G10" s="45" t="s">
        <v>123</v>
      </c>
      <c r="H10" s="46">
        <v>0.13</v>
      </c>
    </row>
    <row r="11" spans="1:8" x14ac:dyDescent="0.2">
      <c r="A11" s="38" t="s">
        <v>65</v>
      </c>
      <c r="B11" s="36">
        <v>0.97928999999999999</v>
      </c>
      <c r="G11" s="45" t="s">
        <v>124</v>
      </c>
      <c r="H11" s="46">
        <v>0.13</v>
      </c>
    </row>
    <row r="12" spans="1:8" x14ac:dyDescent="0.2">
      <c r="A12" s="38" t="s">
        <v>66</v>
      </c>
      <c r="B12" s="36">
        <v>3.5497899999999998</v>
      </c>
      <c r="G12" s="47" t="s">
        <v>125</v>
      </c>
      <c r="H12" s="48">
        <v>0.18</v>
      </c>
    </row>
    <row r="13" spans="1:8" x14ac:dyDescent="0.2">
      <c r="A13" s="38" t="s">
        <v>67</v>
      </c>
      <c r="B13" s="36">
        <v>4.3248300000000004</v>
      </c>
      <c r="G13" s="45" t="s">
        <v>126</v>
      </c>
      <c r="H13" s="46">
        <v>0.14000000000000001</v>
      </c>
    </row>
    <row r="14" spans="1:8" x14ac:dyDescent="0.2">
      <c r="A14" s="38" t="s">
        <v>68</v>
      </c>
      <c r="B14" s="36">
        <v>3.1736900000000001</v>
      </c>
      <c r="G14" s="45" t="s">
        <v>127</v>
      </c>
      <c r="H14" s="46">
        <v>0.15</v>
      </c>
    </row>
    <row r="15" spans="1:8" x14ac:dyDescent="0.2">
      <c r="A15" s="38" t="s">
        <v>69</v>
      </c>
      <c r="B15" s="36">
        <v>5.6607000000000003</v>
      </c>
      <c r="G15" s="47" t="s">
        <v>128</v>
      </c>
      <c r="H15" s="48">
        <v>0.25</v>
      </c>
    </row>
    <row r="16" spans="1:8" x14ac:dyDescent="0.2">
      <c r="A16" s="38" t="s">
        <v>70</v>
      </c>
      <c r="B16" s="36">
        <v>4.2534299999999998</v>
      </c>
      <c r="G16" s="45" t="s">
        <v>129</v>
      </c>
      <c r="H16" s="46">
        <v>0.17</v>
      </c>
    </row>
    <row r="17" spans="1:8" x14ac:dyDescent="0.2">
      <c r="A17" s="38" t="s">
        <v>71</v>
      </c>
      <c r="B17" s="36">
        <v>6.6133300000000004</v>
      </c>
      <c r="G17" s="45" t="s">
        <v>130</v>
      </c>
      <c r="H17" s="46">
        <v>0.17</v>
      </c>
    </row>
    <row r="18" spans="1:8" x14ac:dyDescent="0.2">
      <c r="A18" s="38" t="s">
        <v>72</v>
      </c>
      <c r="B18" s="36">
        <v>7.1936600000000004</v>
      </c>
      <c r="G18" s="45" t="s">
        <v>131</v>
      </c>
      <c r="H18" s="46">
        <v>0.22</v>
      </c>
    </row>
    <row r="19" spans="1:8" x14ac:dyDescent="0.2">
      <c r="A19" s="38" t="s">
        <v>73</v>
      </c>
      <c r="B19" s="36">
        <v>5.7251500000000002</v>
      </c>
      <c r="G19" s="47" t="s">
        <v>132</v>
      </c>
      <c r="H19" s="48">
        <v>0.2</v>
      </c>
    </row>
    <row r="20" spans="1:8" x14ac:dyDescent="0.2">
      <c r="A20" s="38" t="s">
        <v>74</v>
      </c>
      <c r="B20" s="36">
        <v>7.6909200000000002</v>
      </c>
      <c r="G20" s="47" t="s">
        <v>133</v>
      </c>
      <c r="H20" s="48">
        <v>0.14000000000000001</v>
      </c>
    </row>
    <row r="21" spans="1:8" x14ac:dyDescent="0.2">
      <c r="A21" s="38" t="s">
        <v>75</v>
      </c>
      <c r="B21" s="36">
        <v>18.36007</v>
      </c>
      <c r="G21" s="45" t="s">
        <v>134</v>
      </c>
      <c r="H21" s="46">
        <v>0.18</v>
      </c>
    </row>
    <row r="22" spans="1:8" x14ac:dyDescent="0.2">
      <c r="A22" s="38" t="s">
        <v>76</v>
      </c>
      <c r="B22" s="36">
        <v>4.6305500000000004</v>
      </c>
      <c r="G22" s="47" t="s">
        <v>135</v>
      </c>
      <c r="H22" s="48">
        <v>0.25</v>
      </c>
    </row>
    <row r="23" spans="1:8" x14ac:dyDescent="0.2">
      <c r="A23" s="38" t="s">
        <v>77</v>
      </c>
      <c r="B23" s="36">
        <v>2.9175300000000002</v>
      </c>
      <c r="G23" s="47" t="s">
        <v>136</v>
      </c>
      <c r="H23" s="48">
        <v>0.18</v>
      </c>
    </row>
    <row r="24" spans="1:8" x14ac:dyDescent="0.2">
      <c r="A24" s="38" t="s">
        <v>78</v>
      </c>
      <c r="B24" s="36">
        <v>2.1762899999999998</v>
      </c>
      <c r="G24" s="45" t="s">
        <v>137</v>
      </c>
      <c r="H24" s="46">
        <v>0.1</v>
      </c>
    </row>
    <row r="25" spans="1:8" x14ac:dyDescent="0.2">
      <c r="A25" s="38" t="s">
        <v>79</v>
      </c>
      <c r="B25" s="36">
        <v>5.0095000000000001</v>
      </c>
      <c r="G25" s="47" t="s">
        <v>138</v>
      </c>
      <c r="H25" s="48">
        <v>0.11</v>
      </c>
    </row>
    <row r="26" spans="1:8" x14ac:dyDescent="0.2">
      <c r="A26" s="38" t="s">
        <v>80</v>
      </c>
      <c r="B26" s="36">
        <v>4.6424000000000003</v>
      </c>
      <c r="G26" s="45" t="s">
        <v>139</v>
      </c>
      <c r="H26" s="46">
        <v>0.19</v>
      </c>
    </row>
    <row r="27" spans="1:8" x14ac:dyDescent="0.2">
      <c r="A27" s="38" t="s">
        <v>81</v>
      </c>
      <c r="B27" s="36">
        <v>9.6342599999999994</v>
      </c>
      <c r="G27" s="45" t="s">
        <v>140</v>
      </c>
      <c r="H27" s="46">
        <v>0.18</v>
      </c>
    </row>
    <row r="28" spans="1:8" x14ac:dyDescent="0.2">
      <c r="A28" s="38" t="s">
        <v>82</v>
      </c>
      <c r="B28" s="36">
        <v>5.1494999999999997</v>
      </c>
      <c r="G28" s="47" t="s">
        <v>141</v>
      </c>
      <c r="H28" s="48">
        <v>0.13</v>
      </c>
    </row>
    <row r="29" spans="1:8" x14ac:dyDescent="0.2">
      <c r="A29" s="38" t="s">
        <v>83</v>
      </c>
      <c r="B29" s="36">
        <v>7.3220000000000001</v>
      </c>
      <c r="G29" s="45" t="s">
        <v>142</v>
      </c>
      <c r="H29" s="46">
        <v>0.16</v>
      </c>
    </row>
    <row r="30" spans="1:8" x14ac:dyDescent="0.2">
      <c r="A30" s="38" t="s">
        <v>84</v>
      </c>
      <c r="B30" s="36">
        <v>6.1745299999999999</v>
      </c>
      <c r="G30" s="47" t="s">
        <v>143</v>
      </c>
      <c r="H30" s="48">
        <v>0.06</v>
      </c>
    </row>
    <row r="31" spans="1:8" x14ac:dyDescent="0.2">
      <c r="A31" s="38" t="s">
        <v>85</v>
      </c>
      <c r="B31" s="36">
        <v>3.7718799999999999</v>
      </c>
      <c r="G31" s="45" t="s">
        <v>144</v>
      </c>
      <c r="H31" s="46">
        <v>0.28000000000000003</v>
      </c>
    </row>
    <row r="32" spans="1:8" x14ac:dyDescent="0.2">
      <c r="A32" s="38" t="s">
        <v>86</v>
      </c>
      <c r="B32" s="36">
        <v>3.29684</v>
      </c>
      <c r="G32" s="47" t="s">
        <v>145</v>
      </c>
      <c r="H32" s="48">
        <v>0.26</v>
      </c>
    </row>
    <row r="33" spans="1:8" x14ac:dyDescent="0.2">
      <c r="A33" s="38" t="s">
        <v>87</v>
      </c>
      <c r="B33" s="36">
        <v>3.1148400000000001</v>
      </c>
      <c r="G33" s="45" t="s">
        <v>146</v>
      </c>
      <c r="H33" s="46">
        <v>0.23</v>
      </c>
    </row>
    <row r="34" spans="1:8" x14ac:dyDescent="0.2">
      <c r="A34" s="38" t="s">
        <v>88</v>
      </c>
      <c r="B34" s="36">
        <v>6.7865700000000002</v>
      </c>
      <c r="G34" s="47" t="s">
        <v>147</v>
      </c>
      <c r="H34" s="48">
        <v>0.25</v>
      </c>
    </row>
    <row r="35" spans="1:8" x14ac:dyDescent="0.2">
      <c r="A35" s="38" t="s">
        <v>89</v>
      </c>
      <c r="B35" s="36">
        <v>1.9579500000000001</v>
      </c>
      <c r="G35" s="45" t="s">
        <v>148</v>
      </c>
      <c r="H35" s="46">
        <v>0.19</v>
      </c>
    </row>
    <row r="36" spans="1:8" x14ac:dyDescent="0.2">
      <c r="A36" s="38" t="s">
        <v>90</v>
      </c>
      <c r="B36" s="36">
        <v>4.2177300000000004</v>
      </c>
      <c r="G36" s="47" t="s">
        <v>149</v>
      </c>
      <c r="H36" s="48">
        <v>0.19</v>
      </c>
    </row>
    <row r="37" spans="1:8" x14ac:dyDescent="0.2">
      <c r="A37" s="38" t="s">
        <v>91</v>
      </c>
      <c r="B37" s="36">
        <v>12.23743</v>
      </c>
      <c r="G37" s="45" t="s">
        <v>150</v>
      </c>
      <c r="H37" s="46">
        <v>0.19</v>
      </c>
    </row>
    <row r="38" spans="1:8" x14ac:dyDescent="0.2">
      <c r="A38" s="38" t="s">
        <v>92</v>
      </c>
      <c r="B38" s="36">
        <v>5.0794699999999997</v>
      </c>
      <c r="G38" s="45" t="s">
        <v>151</v>
      </c>
      <c r="H38" s="46">
        <v>0.2</v>
      </c>
    </row>
    <row r="39" spans="1:8" x14ac:dyDescent="0.2">
      <c r="A39" s="38" t="s">
        <v>93</v>
      </c>
      <c r="B39" s="36">
        <v>7.9677300000000004</v>
      </c>
      <c r="G39" s="45" t="s">
        <v>152</v>
      </c>
      <c r="H39" s="46">
        <v>0.31</v>
      </c>
    </row>
    <row r="40" spans="1:8" x14ac:dyDescent="0.2">
      <c r="A40" s="38" t="s">
        <v>94</v>
      </c>
      <c r="B40" s="36">
        <v>3.3656600000000001</v>
      </c>
      <c r="G40" s="45" t="s">
        <v>153</v>
      </c>
      <c r="H40" s="46">
        <v>0.23</v>
      </c>
    </row>
    <row r="41" spans="1:8" x14ac:dyDescent="0.2">
      <c r="A41" s="38" t="s">
        <v>95</v>
      </c>
      <c r="B41" s="36">
        <v>4.8384499999999999</v>
      </c>
      <c r="G41" s="47" t="s">
        <v>154</v>
      </c>
      <c r="H41" s="48">
        <v>0.16</v>
      </c>
    </row>
    <row r="42" spans="1:8" x14ac:dyDescent="0.2">
      <c r="A42" s="38" t="s">
        <v>96</v>
      </c>
      <c r="B42" s="36">
        <v>3.0012699999999999</v>
      </c>
      <c r="G42" s="45" t="s">
        <v>155</v>
      </c>
      <c r="H42" s="46">
        <v>0.19</v>
      </c>
    </row>
    <row r="43" spans="1:8" x14ac:dyDescent="0.2">
      <c r="A43" s="38" t="s">
        <v>97</v>
      </c>
      <c r="B43" s="36">
        <v>6.4710799999999997</v>
      </c>
      <c r="G43" s="47" t="s">
        <v>156</v>
      </c>
      <c r="H43" s="48">
        <v>0.19</v>
      </c>
    </row>
    <row r="44" spans="1:8" x14ac:dyDescent="0.2">
      <c r="A44" s="38" t="s">
        <v>98</v>
      </c>
      <c r="B44" s="36">
        <v>6.5202600000000004</v>
      </c>
      <c r="G44" s="47" t="s">
        <v>157</v>
      </c>
      <c r="H44" s="48">
        <v>0.22</v>
      </c>
    </row>
    <row r="45" spans="1:8" x14ac:dyDescent="0.2">
      <c r="A45" s="38" t="s">
        <v>99</v>
      </c>
      <c r="B45" s="36">
        <v>5.1003999999999996</v>
      </c>
      <c r="G45" s="47" t="s">
        <v>158</v>
      </c>
      <c r="H45" s="48">
        <v>0.21</v>
      </c>
    </row>
    <row r="46" spans="1:8" x14ac:dyDescent="0.2">
      <c r="A46" s="38" t="s">
        <v>100</v>
      </c>
      <c r="B46" s="36">
        <v>7.1625699999999997</v>
      </c>
      <c r="G46" s="47" t="s">
        <v>159</v>
      </c>
      <c r="H46" s="48">
        <v>0.25</v>
      </c>
    </row>
    <row r="47" spans="1:8" x14ac:dyDescent="0.2">
      <c r="A47" s="38" t="s">
        <v>101</v>
      </c>
      <c r="B47" s="36">
        <v>3.9678900000000001</v>
      </c>
      <c r="G47" s="47" t="s">
        <v>160</v>
      </c>
      <c r="H47" s="48">
        <v>0.12</v>
      </c>
    </row>
    <row r="48" spans="1:8" x14ac:dyDescent="0.2">
      <c r="A48" s="38" t="s">
        <v>102</v>
      </c>
      <c r="B48" s="36">
        <v>3.6052</v>
      </c>
      <c r="G48" s="47" t="s">
        <v>161</v>
      </c>
      <c r="H48" s="48">
        <v>0.13</v>
      </c>
    </row>
    <row r="49" spans="1:8" x14ac:dyDescent="0.2">
      <c r="A49" s="38" t="s">
        <v>103</v>
      </c>
      <c r="B49" s="36">
        <v>4.2081299999999997</v>
      </c>
      <c r="G49" s="47" t="s">
        <v>162</v>
      </c>
      <c r="H49" s="48">
        <v>0.22</v>
      </c>
    </row>
    <row r="50" spans="1:8" x14ac:dyDescent="0.2">
      <c r="A50" s="38" t="s">
        <v>104</v>
      </c>
      <c r="B50" s="36">
        <v>2.45112</v>
      </c>
      <c r="G50" s="45" t="s">
        <v>163</v>
      </c>
      <c r="H50" s="46">
        <v>7.0000000000000007E-2</v>
      </c>
    </row>
    <row r="51" spans="1:8" x14ac:dyDescent="0.2">
      <c r="A51" s="38" t="s">
        <v>105</v>
      </c>
      <c r="B51" s="36">
        <v>10.917759999999999</v>
      </c>
      <c r="G51" s="47" t="s">
        <v>164</v>
      </c>
      <c r="H51" s="48">
        <v>0.18</v>
      </c>
    </row>
    <row r="52" spans="1:8" x14ac:dyDescent="0.2">
      <c r="A52" s="38" t="s">
        <v>106</v>
      </c>
      <c r="B52" s="36">
        <v>5.2686000000000002</v>
      </c>
      <c r="G52" s="45" t="s">
        <v>165</v>
      </c>
      <c r="H52" s="46">
        <v>0.21</v>
      </c>
    </row>
    <row r="53" spans="1:8" x14ac:dyDescent="0.2">
      <c r="A53" s="38" t="s">
        <v>107</v>
      </c>
      <c r="B53" s="36">
        <v>13.30383</v>
      </c>
      <c r="G53" s="47" t="s">
        <v>166</v>
      </c>
      <c r="H53" s="48">
        <v>0.16</v>
      </c>
    </row>
    <row r="54" spans="1:8" ht="17" thickBot="1" x14ac:dyDescent="0.25">
      <c r="A54" s="35" t="s">
        <v>108</v>
      </c>
      <c r="B54" s="37">
        <v>4.3430299999999997</v>
      </c>
      <c r="G54" s="45" t="s">
        <v>167</v>
      </c>
      <c r="H54" s="46">
        <v>0.25</v>
      </c>
    </row>
    <row r="55" spans="1:8" x14ac:dyDescent="0.2">
      <c r="G55" s="47" t="s">
        <v>168</v>
      </c>
      <c r="H55" s="48">
        <v>0.25</v>
      </c>
    </row>
    <row r="56" spans="1:8" x14ac:dyDescent="0.2">
      <c r="G56" s="45" t="s">
        <v>169</v>
      </c>
      <c r="H56" s="46">
        <v>0.14000000000000001</v>
      </c>
    </row>
    <row r="57" spans="1:8" x14ac:dyDescent="0.2">
      <c r="G57" s="47" t="s">
        <v>170</v>
      </c>
      <c r="H57" s="48">
        <v>0.19</v>
      </c>
    </row>
    <row r="58" spans="1:8" x14ac:dyDescent="0.2">
      <c r="G58" s="45" t="s">
        <v>171</v>
      </c>
      <c r="H58" s="46">
        <v>0.19</v>
      </c>
    </row>
    <row r="59" spans="1:8" x14ac:dyDescent="0.2">
      <c r="G59" s="47" t="s">
        <v>172</v>
      </c>
      <c r="H59" s="48">
        <v>0.21</v>
      </c>
    </row>
    <row r="60" spans="1:8" x14ac:dyDescent="0.2">
      <c r="G60" s="45" t="s">
        <v>173</v>
      </c>
      <c r="H60" s="46">
        <v>0.23</v>
      </c>
    </row>
    <row r="61" spans="1:8" x14ac:dyDescent="0.2">
      <c r="G61" s="47" t="s">
        <v>174</v>
      </c>
      <c r="H61" s="48">
        <v>0.05</v>
      </c>
    </row>
    <row r="62" spans="1:8" x14ac:dyDescent="0.2">
      <c r="G62" s="45" t="s">
        <v>175</v>
      </c>
      <c r="H62" s="46">
        <v>0.16</v>
      </c>
    </row>
    <row r="63" spans="1:8" x14ac:dyDescent="0.2">
      <c r="G63" s="47" t="s">
        <v>176</v>
      </c>
      <c r="H63" s="48">
        <v>0.16</v>
      </c>
    </row>
    <row r="64" spans="1:8" x14ac:dyDescent="0.2">
      <c r="G64" s="45" t="s">
        <v>177</v>
      </c>
      <c r="H64" s="46">
        <v>0.3</v>
      </c>
    </row>
    <row r="65" spans="7:8" x14ac:dyDescent="0.2">
      <c r="G65" s="47" t="s">
        <v>178</v>
      </c>
      <c r="H65" s="48">
        <v>0.17</v>
      </c>
    </row>
    <row r="66" spans="7:8" x14ac:dyDescent="0.2">
      <c r="G66" s="47" t="s">
        <v>179</v>
      </c>
      <c r="H66" s="48">
        <v>0.14000000000000001</v>
      </c>
    </row>
    <row r="67" spans="7:8" x14ac:dyDescent="0.2">
      <c r="G67" s="45" t="s">
        <v>180</v>
      </c>
      <c r="H67" s="46">
        <v>0.2</v>
      </c>
    </row>
    <row r="68" spans="7:8" x14ac:dyDescent="0.2">
      <c r="G68" s="47" t="s">
        <v>181</v>
      </c>
      <c r="H68" s="48">
        <v>0.06</v>
      </c>
    </row>
    <row r="69" spans="7:8" x14ac:dyDescent="0.2">
      <c r="G69" s="45" t="s">
        <v>182</v>
      </c>
      <c r="H69" s="46">
        <v>0.1</v>
      </c>
    </row>
    <row r="70" spans="7:8" x14ac:dyDescent="0.2">
      <c r="G70" s="45" t="s">
        <v>183</v>
      </c>
      <c r="H70" s="46">
        <v>0.21</v>
      </c>
    </row>
    <row r="71" spans="7:8" x14ac:dyDescent="0.2">
      <c r="G71" s="47" t="s">
        <v>184</v>
      </c>
      <c r="H71" s="48">
        <v>0.19</v>
      </c>
    </row>
    <row r="72" spans="7:8" ht="30" x14ac:dyDescent="0.2">
      <c r="G72" s="45" t="s">
        <v>185</v>
      </c>
      <c r="H72" s="46">
        <v>0.21</v>
      </c>
    </row>
    <row r="73" spans="7:8" x14ac:dyDescent="0.2">
      <c r="G73" s="45" t="s">
        <v>186</v>
      </c>
      <c r="H73" s="46">
        <v>0.22</v>
      </c>
    </row>
    <row r="74" spans="7:8" x14ac:dyDescent="0.2">
      <c r="G74" s="47" t="s">
        <v>187</v>
      </c>
      <c r="H74" s="48">
        <v>0.14000000000000001</v>
      </c>
    </row>
    <row r="75" spans="7:8" x14ac:dyDescent="0.2">
      <c r="G75" s="45" t="s">
        <v>188</v>
      </c>
      <c r="H75" s="46">
        <v>0.22</v>
      </c>
    </row>
    <row r="76" spans="7:8" ht="30" x14ac:dyDescent="0.2">
      <c r="G76" s="47" t="s">
        <v>189</v>
      </c>
      <c r="H76" s="48">
        <v>0.16</v>
      </c>
    </row>
    <row r="77" spans="7:8" x14ac:dyDescent="0.2">
      <c r="G77" s="45" t="s">
        <v>190</v>
      </c>
      <c r="H77" s="46">
        <v>0.16</v>
      </c>
    </row>
    <row r="78" spans="7:8" x14ac:dyDescent="0.2">
      <c r="G78" s="47" t="s">
        <v>191</v>
      </c>
      <c r="H78" s="48">
        <v>0.19</v>
      </c>
    </row>
    <row r="79" spans="7:8" x14ac:dyDescent="0.2">
      <c r="G79" s="47" t="s">
        <v>192</v>
      </c>
      <c r="H79" s="48">
        <v>0.21</v>
      </c>
    </row>
    <row r="80" spans="7:8" x14ac:dyDescent="0.2">
      <c r="G80" s="47" t="s">
        <v>193</v>
      </c>
      <c r="H80" s="48">
        <v>0.14000000000000001</v>
      </c>
    </row>
    <row r="81" spans="7:8" x14ac:dyDescent="0.2">
      <c r="G81" s="45" t="s">
        <v>194</v>
      </c>
      <c r="H81" s="46">
        <v>0.25</v>
      </c>
    </row>
    <row r="82" spans="7:8" x14ac:dyDescent="0.2">
      <c r="G82" s="47" t="s">
        <v>195</v>
      </c>
      <c r="H82" s="48">
        <v>0.42</v>
      </c>
    </row>
    <row r="83" spans="7:8" x14ac:dyDescent="0.2">
      <c r="G83" s="45" t="s">
        <v>196</v>
      </c>
      <c r="H83" s="46"/>
    </row>
    <row r="84" spans="7:8" x14ac:dyDescent="0.2">
      <c r="G84" s="47" t="s">
        <v>197</v>
      </c>
      <c r="H84" s="48">
        <v>0.24</v>
      </c>
    </row>
    <row r="85" spans="7:8" ht="30" x14ac:dyDescent="0.2">
      <c r="G85" s="45" t="s">
        <v>198</v>
      </c>
      <c r="H85" s="46">
        <v>0.22</v>
      </c>
    </row>
    <row r="86" spans="7:8" x14ac:dyDescent="0.2">
      <c r="G86" s="47" t="s">
        <v>199</v>
      </c>
      <c r="H86" s="48">
        <v>0.18</v>
      </c>
    </row>
    <row r="87" spans="7:8" ht="30" x14ac:dyDescent="0.2">
      <c r="G87" s="45" t="s">
        <v>200</v>
      </c>
      <c r="H87" s="46">
        <v>0.2</v>
      </c>
    </row>
    <row r="88" spans="7:8" ht="30" x14ac:dyDescent="0.2">
      <c r="G88" s="47" t="s">
        <v>201</v>
      </c>
      <c r="H88" s="48">
        <v>0.21</v>
      </c>
    </row>
    <row r="89" spans="7:8" ht="30" x14ac:dyDescent="0.2">
      <c r="G89" s="45" t="s">
        <v>202</v>
      </c>
      <c r="H89" s="46">
        <v>0.16</v>
      </c>
    </row>
    <row r="90" spans="7:8" ht="30" x14ac:dyDescent="0.2">
      <c r="G90" s="47" t="s">
        <v>203</v>
      </c>
      <c r="H90" s="48">
        <v>0.16</v>
      </c>
    </row>
    <row r="91" spans="7:8" ht="30" x14ac:dyDescent="0.2">
      <c r="G91" s="45" t="s">
        <v>204</v>
      </c>
      <c r="H91" s="46">
        <v>0.18</v>
      </c>
    </row>
    <row r="92" spans="7:8" x14ac:dyDescent="0.2">
      <c r="G92" s="47" t="s">
        <v>205</v>
      </c>
      <c r="H92" s="48">
        <v>0.19</v>
      </c>
    </row>
    <row r="93" spans="7:8" ht="30" x14ac:dyDescent="0.2">
      <c r="G93" s="45" t="s">
        <v>206</v>
      </c>
      <c r="H93" s="46">
        <v>0.19</v>
      </c>
    </row>
    <row r="94" spans="7:8" x14ac:dyDescent="0.2">
      <c r="G94" s="45" t="s">
        <v>207</v>
      </c>
      <c r="H94" s="46">
        <v>0.15</v>
      </c>
    </row>
    <row r="95" spans="7:8" x14ac:dyDescent="0.2">
      <c r="G95" s="45" t="s">
        <v>208</v>
      </c>
      <c r="H95" s="46">
        <v>0.22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5794D-9AFF-E945-9852-76793DE5A5A4}">
  <dimension ref="A1:N51"/>
  <sheetViews>
    <sheetView topLeftCell="A3" workbookViewId="0">
      <selection activeCell="C52" sqref="C52"/>
    </sheetView>
  </sheetViews>
  <sheetFormatPr baseColWidth="10" defaultColWidth="10.83203125" defaultRowHeight="16" x14ac:dyDescent="0.2"/>
  <cols>
    <col min="1" max="1" width="13.6640625" style="2" bestFit="1" customWidth="1"/>
    <col min="2" max="16384" width="10.83203125" style="2"/>
  </cols>
  <sheetData>
    <row r="1" spans="1:14" ht="17" thickBot="1" x14ac:dyDescent="0.25"/>
    <row r="2" spans="1:14" x14ac:dyDescent="0.2">
      <c r="B2" s="7" t="s">
        <v>28</v>
      </c>
      <c r="C2" s="15" t="s">
        <v>29</v>
      </c>
      <c r="D2" s="15" t="s">
        <v>30</v>
      </c>
      <c r="E2" s="15" t="s">
        <v>43</v>
      </c>
      <c r="F2" s="15" t="s">
        <v>44</v>
      </c>
      <c r="G2" s="99" t="s">
        <v>114</v>
      </c>
      <c r="I2" s="7"/>
      <c r="J2" s="15" t="s">
        <v>29</v>
      </c>
      <c r="K2" s="15" t="s">
        <v>31</v>
      </c>
      <c r="L2" s="15" t="s">
        <v>32</v>
      </c>
      <c r="M2" s="15" t="s">
        <v>33</v>
      </c>
      <c r="N2" s="16" t="s">
        <v>34</v>
      </c>
    </row>
    <row r="3" spans="1:14" x14ac:dyDescent="0.2">
      <c r="B3" s="5" t="s">
        <v>31</v>
      </c>
      <c r="C3" s="1">
        <f>K11</f>
        <v>430</v>
      </c>
      <c r="D3" s="8">
        <v>35000</v>
      </c>
      <c r="E3" s="1">
        <v>10</v>
      </c>
      <c r="F3" s="1">
        <v>4</v>
      </c>
      <c r="G3" s="6">
        <f>K20</f>
        <v>5</v>
      </c>
      <c r="I3" s="5" t="s">
        <v>35</v>
      </c>
      <c r="J3" s="1">
        <v>380</v>
      </c>
      <c r="K3" s="1">
        <v>1</v>
      </c>
      <c r="L3" s="1">
        <v>2</v>
      </c>
      <c r="M3" s="1">
        <v>3</v>
      </c>
      <c r="N3" s="6">
        <v>3</v>
      </c>
    </row>
    <row r="4" spans="1:14" x14ac:dyDescent="0.2">
      <c r="B4" s="5" t="s">
        <v>32</v>
      </c>
      <c r="C4" s="1">
        <f>L11</f>
        <v>910</v>
      </c>
      <c r="D4" s="8">
        <v>70000</v>
      </c>
      <c r="E4" s="1">
        <v>20</v>
      </c>
      <c r="F4" s="1">
        <v>8</v>
      </c>
      <c r="G4" s="6">
        <f>L20</f>
        <v>10</v>
      </c>
      <c r="I4" s="5" t="s">
        <v>36</v>
      </c>
      <c r="J4" s="1">
        <v>50</v>
      </c>
      <c r="K4" s="1">
        <v>1</v>
      </c>
      <c r="L4" s="1">
        <v>1</v>
      </c>
      <c r="M4" s="1">
        <v>1</v>
      </c>
      <c r="N4" s="6">
        <v>1</v>
      </c>
    </row>
    <row r="5" spans="1:14" x14ac:dyDescent="0.2">
      <c r="B5" s="5" t="s">
        <v>33</v>
      </c>
      <c r="C5" s="1">
        <f>M11</f>
        <v>1290</v>
      </c>
      <c r="D5" s="8">
        <v>95000</v>
      </c>
      <c r="E5" s="1">
        <v>30</v>
      </c>
      <c r="F5" s="1">
        <v>6</v>
      </c>
      <c r="G5" s="6">
        <f>M20</f>
        <v>14</v>
      </c>
      <c r="I5" s="5" t="s">
        <v>37</v>
      </c>
      <c r="J5" s="1">
        <v>100</v>
      </c>
      <c r="K5" s="1">
        <v>0</v>
      </c>
      <c r="L5" s="1">
        <v>1</v>
      </c>
      <c r="M5" s="1">
        <v>1</v>
      </c>
      <c r="N5" s="6">
        <v>2</v>
      </c>
    </row>
    <row r="6" spans="1:14" ht="17" thickBot="1" x14ac:dyDescent="0.25">
      <c r="B6" s="10" t="s">
        <v>34</v>
      </c>
      <c r="C6" s="105">
        <f>N11</f>
        <v>1390</v>
      </c>
      <c r="D6" s="106">
        <v>125000</v>
      </c>
      <c r="E6" s="105">
        <v>30</v>
      </c>
      <c r="F6" s="105">
        <v>16</v>
      </c>
      <c r="G6" s="11">
        <f>N20</f>
        <v>15</v>
      </c>
      <c r="I6" s="5"/>
      <c r="J6" s="1"/>
      <c r="K6" s="1"/>
      <c r="L6" s="1"/>
      <c r="M6" s="1"/>
      <c r="N6" s="6"/>
    </row>
    <row r="7" spans="1:14" x14ac:dyDescent="0.2">
      <c r="I7" s="5"/>
      <c r="J7" s="1"/>
      <c r="K7" s="1">
        <f>J3</f>
        <v>380</v>
      </c>
      <c r="L7" s="1">
        <f>K7</f>
        <v>380</v>
      </c>
      <c r="M7" s="1">
        <f t="shared" ref="M7:N7" si="0">L7</f>
        <v>380</v>
      </c>
      <c r="N7" s="6">
        <f t="shared" si="0"/>
        <v>380</v>
      </c>
    </row>
    <row r="8" spans="1:14" x14ac:dyDescent="0.2">
      <c r="I8" s="5"/>
      <c r="J8" s="1"/>
      <c r="K8" s="1">
        <f>J4</f>
        <v>50</v>
      </c>
      <c r="L8" s="1">
        <f>K8</f>
        <v>50</v>
      </c>
      <c r="M8" s="1">
        <f t="shared" ref="M8:N8" si="1">L8</f>
        <v>50</v>
      </c>
      <c r="N8" s="6">
        <f t="shared" si="1"/>
        <v>50</v>
      </c>
    </row>
    <row r="9" spans="1:14" x14ac:dyDescent="0.2">
      <c r="I9" s="5"/>
      <c r="J9" s="1"/>
      <c r="K9" s="1">
        <f>J5</f>
        <v>100</v>
      </c>
      <c r="L9" s="1">
        <f>K9</f>
        <v>100</v>
      </c>
      <c r="M9" s="1">
        <f t="shared" ref="M9:N9" si="2">L9</f>
        <v>100</v>
      </c>
      <c r="N9" s="6">
        <f t="shared" si="2"/>
        <v>100</v>
      </c>
    </row>
    <row r="10" spans="1:14" x14ac:dyDescent="0.2">
      <c r="I10" s="92"/>
      <c r="N10" s="93"/>
    </row>
    <row r="11" spans="1:14" ht="17" thickBot="1" x14ac:dyDescent="0.25">
      <c r="I11" s="94" t="s">
        <v>38</v>
      </c>
      <c r="J11" s="95"/>
      <c r="K11" s="105">
        <f>(K7*K3)+(K8*K4)+(K9*K5)</f>
        <v>430</v>
      </c>
      <c r="L11" s="105">
        <f t="shared" ref="L11:N11" si="3">(L7*L3)+(L8*L4)+(L9*L5)</f>
        <v>910</v>
      </c>
      <c r="M11" s="105">
        <f t="shared" si="3"/>
        <v>1290</v>
      </c>
      <c r="N11" s="11">
        <f t="shared" si="3"/>
        <v>1390</v>
      </c>
    </row>
    <row r="14" spans="1:14" ht="17" thickBot="1" x14ac:dyDescent="0.25"/>
    <row r="15" spans="1:14" ht="17" thickBot="1" x14ac:dyDescent="0.25">
      <c r="I15" s="7"/>
      <c r="J15" s="15" t="s">
        <v>112</v>
      </c>
      <c r="K15" s="15" t="s">
        <v>31</v>
      </c>
      <c r="L15" s="15" t="s">
        <v>32</v>
      </c>
      <c r="M15" s="15" t="s">
        <v>33</v>
      </c>
      <c r="N15" s="16" t="s">
        <v>34</v>
      </c>
    </row>
    <row r="16" spans="1:14" x14ac:dyDescent="0.2">
      <c r="A16" s="97"/>
      <c r="B16" s="98" t="s">
        <v>47</v>
      </c>
      <c r="C16" s="99"/>
      <c r="E16" s="100" t="s">
        <v>114</v>
      </c>
      <c r="G16" s="100" t="s">
        <v>216</v>
      </c>
      <c r="I16" s="5" t="s">
        <v>35</v>
      </c>
      <c r="J16" s="1">
        <v>4</v>
      </c>
      <c r="K16" s="1">
        <v>1</v>
      </c>
      <c r="L16" s="1">
        <v>2</v>
      </c>
      <c r="M16" s="1">
        <v>3</v>
      </c>
      <c r="N16" s="6">
        <v>3</v>
      </c>
    </row>
    <row r="17" spans="1:14" x14ac:dyDescent="0.2">
      <c r="A17" s="92" t="s">
        <v>214</v>
      </c>
      <c r="B17" s="2">
        <f>ROUNDUP(('TCO Cala'!B8)/VLOOKUP('TCO Cala'!B11,Data!B3:F6,4,FALSE),0)</f>
        <v>1</v>
      </c>
      <c r="C17" s="93"/>
      <c r="E17" s="101">
        <v>0.25</v>
      </c>
      <c r="G17" s="103">
        <v>0</v>
      </c>
      <c r="I17" s="5" t="s">
        <v>36</v>
      </c>
      <c r="J17" s="1">
        <v>1</v>
      </c>
      <c r="K17" s="1">
        <v>1</v>
      </c>
      <c r="L17" s="1">
        <v>1</v>
      </c>
      <c r="M17" s="1">
        <v>1</v>
      </c>
      <c r="N17" s="6">
        <v>1</v>
      </c>
    </row>
    <row r="18" spans="1:14" ht="17" thickBot="1" x14ac:dyDescent="0.25">
      <c r="A18" s="94" t="s">
        <v>215</v>
      </c>
      <c r="B18" s="95">
        <f>ROUNDUP('TCO Cala'!B10/VLOOKUP('TCO Cala'!B11,Data!B3:F6,5,FALSE),0)</f>
        <v>1</v>
      </c>
      <c r="C18" s="96"/>
      <c r="E18" s="101">
        <v>0.5</v>
      </c>
      <c r="G18" s="103">
        <v>0.05</v>
      </c>
      <c r="I18" s="5" t="s">
        <v>37</v>
      </c>
      <c r="J18" s="1">
        <v>1</v>
      </c>
      <c r="K18" s="1">
        <v>0</v>
      </c>
      <c r="L18" s="1">
        <v>1</v>
      </c>
      <c r="M18" s="1">
        <v>1</v>
      </c>
      <c r="N18" s="6">
        <v>2</v>
      </c>
    </row>
    <row r="19" spans="1:14" x14ac:dyDescent="0.2">
      <c r="E19" s="101">
        <v>1</v>
      </c>
      <c r="G19" s="103">
        <v>0.1</v>
      </c>
      <c r="I19" s="92"/>
      <c r="N19" s="93"/>
    </row>
    <row r="20" spans="1:14" x14ac:dyDescent="0.2">
      <c r="E20" s="101">
        <v>2</v>
      </c>
      <c r="G20" s="103">
        <v>0.15</v>
      </c>
      <c r="I20" s="92"/>
      <c r="J20" s="2" t="s">
        <v>113</v>
      </c>
      <c r="K20" s="1">
        <f>($J$16*K16)+(K17*$J$17)+(K18*$J$18)</f>
        <v>5</v>
      </c>
      <c r="L20" s="1">
        <f t="shared" ref="L20:N20" si="4">($J$16*L16)+(L17*$J$17)+(L18*$J$18)</f>
        <v>10</v>
      </c>
      <c r="M20" s="1">
        <f t="shared" si="4"/>
        <v>14</v>
      </c>
      <c r="N20" s="6">
        <f t="shared" si="4"/>
        <v>15</v>
      </c>
    </row>
    <row r="21" spans="1:14" ht="17" thickBot="1" x14ac:dyDescent="0.25">
      <c r="E21" s="101">
        <v>3</v>
      </c>
      <c r="G21" s="103">
        <v>0.2</v>
      </c>
      <c r="I21" s="94"/>
      <c r="J21" s="95"/>
      <c r="K21" s="95"/>
      <c r="L21" s="95"/>
      <c r="M21" s="95"/>
      <c r="N21" s="96"/>
    </row>
    <row r="22" spans="1:14" x14ac:dyDescent="0.2">
      <c r="E22" s="101">
        <v>4</v>
      </c>
      <c r="G22" s="103">
        <v>0.25</v>
      </c>
    </row>
    <row r="23" spans="1:14" x14ac:dyDescent="0.2">
      <c r="E23" s="101">
        <v>8</v>
      </c>
      <c r="G23" s="103">
        <v>0.3</v>
      </c>
    </row>
    <row r="24" spans="1:14" ht="17" thickBot="1" x14ac:dyDescent="0.25">
      <c r="E24" s="102">
        <v>10</v>
      </c>
      <c r="G24" s="103">
        <v>0.35</v>
      </c>
    </row>
    <row r="25" spans="1:14" x14ac:dyDescent="0.2">
      <c r="G25" s="103">
        <v>0.4</v>
      </c>
    </row>
    <row r="26" spans="1:14" x14ac:dyDescent="0.2">
      <c r="G26" s="103">
        <v>0.45</v>
      </c>
    </row>
    <row r="27" spans="1:14" x14ac:dyDescent="0.2">
      <c r="G27" s="103">
        <v>0.5</v>
      </c>
    </row>
    <row r="28" spans="1:14" x14ac:dyDescent="0.2">
      <c r="G28" s="103">
        <v>0.55000000000000004</v>
      </c>
    </row>
    <row r="29" spans="1:14" x14ac:dyDescent="0.2">
      <c r="G29" s="103">
        <v>0.6</v>
      </c>
    </row>
    <row r="30" spans="1:14" ht="17" thickBot="1" x14ac:dyDescent="0.25">
      <c r="G30" s="104">
        <v>0.65</v>
      </c>
    </row>
    <row r="32" spans="1:14" ht="17" thickBot="1" x14ac:dyDescent="0.25"/>
    <row r="33" spans="1:4" x14ac:dyDescent="0.2">
      <c r="A33" s="107" t="s">
        <v>245</v>
      </c>
      <c r="B33" s="108" t="s">
        <v>249</v>
      </c>
      <c r="C33" s="109" t="s">
        <v>29</v>
      </c>
      <c r="D33" s="2" t="s">
        <v>265</v>
      </c>
    </row>
    <row r="34" spans="1:4" x14ac:dyDescent="0.2">
      <c r="A34" s="110" t="s">
        <v>252</v>
      </c>
      <c r="B34" s="112">
        <v>26175</v>
      </c>
      <c r="C34" s="111">
        <v>400</v>
      </c>
      <c r="D34" s="2" t="s">
        <v>266</v>
      </c>
    </row>
    <row r="35" spans="1:4" x14ac:dyDescent="0.2">
      <c r="A35" s="110" t="s">
        <v>246</v>
      </c>
      <c r="B35" s="112">
        <v>26175</v>
      </c>
      <c r="C35" s="111">
        <v>350</v>
      </c>
      <c r="D35" s="2" t="s">
        <v>266</v>
      </c>
    </row>
    <row r="36" spans="1:4" x14ac:dyDescent="0.2">
      <c r="A36" s="110" t="s">
        <v>247</v>
      </c>
      <c r="B36" s="112">
        <v>6975</v>
      </c>
      <c r="C36" s="111">
        <v>300</v>
      </c>
      <c r="D36" s="2" t="s">
        <v>266</v>
      </c>
    </row>
    <row r="37" spans="1:4" x14ac:dyDescent="0.2">
      <c r="A37" s="110" t="s">
        <v>248</v>
      </c>
      <c r="B37" s="112">
        <v>6975</v>
      </c>
      <c r="C37" s="111">
        <v>350</v>
      </c>
      <c r="D37" s="2" t="s">
        <v>266</v>
      </c>
    </row>
    <row r="38" spans="1:4" x14ac:dyDescent="0.2">
      <c r="A38" s="110" t="s">
        <v>251</v>
      </c>
      <c r="B38" s="112">
        <v>2175</v>
      </c>
      <c r="C38" s="111">
        <v>72</v>
      </c>
      <c r="D38" s="2" t="s">
        <v>266</v>
      </c>
    </row>
    <row r="39" spans="1:4" x14ac:dyDescent="0.2">
      <c r="A39" s="110" t="s">
        <v>253</v>
      </c>
      <c r="B39" s="112">
        <v>2785</v>
      </c>
      <c r="C39" s="111">
        <v>250</v>
      </c>
      <c r="D39" s="2" t="s">
        <v>266</v>
      </c>
    </row>
    <row r="40" spans="1:4" x14ac:dyDescent="0.2">
      <c r="A40" s="110" t="s">
        <v>254</v>
      </c>
      <c r="B40" s="112">
        <v>5675</v>
      </c>
      <c r="C40" s="111">
        <v>230</v>
      </c>
      <c r="D40" s="2" t="s">
        <v>266</v>
      </c>
    </row>
    <row r="41" spans="1:4" x14ac:dyDescent="0.2">
      <c r="A41" s="110" t="s">
        <v>255</v>
      </c>
      <c r="B41" s="112">
        <v>6725</v>
      </c>
      <c r="C41" s="111">
        <v>300</v>
      </c>
      <c r="D41" s="2" t="s">
        <v>266</v>
      </c>
    </row>
    <row r="42" spans="1:4" x14ac:dyDescent="0.2">
      <c r="A42" s="110" t="s">
        <v>256</v>
      </c>
      <c r="B42" s="112">
        <v>4000</v>
      </c>
      <c r="C42" s="111">
        <v>300</v>
      </c>
      <c r="D42" s="2" t="s">
        <v>266</v>
      </c>
    </row>
    <row r="43" spans="1:4" x14ac:dyDescent="0.2">
      <c r="A43" s="110" t="s">
        <v>250</v>
      </c>
      <c r="B43" s="112">
        <v>4675</v>
      </c>
      <c r="C43" s="111">
        <v>300</v>
      </c>
      <c r="D43" s="2" t="s">
        <v>266</v>
      </c>
    </row>
    <row r="44" spans="1:4" x14ac:dyDescent="0.2">
      <c r="A44" s="110" t="s">
        <v>258</v>
      </c>
      <c r="B44" s="112">
        <v>4200</v>
      </c>
      <c r="C44" s="111">
        <v>165</v>
      </c>
      <c r="D44" s="2" t="s">
        <v>266</v>
      </c>
    </row>
    <row r="45" spans="1:4" x14ac:dyDescent="0.2">
      <c r="A45" s="110" t="s">
        <v>257</v>
      </c>
      <c r="B45" s="112">
        <v>2575</v>
      </c>
      <c r="C45" s="111">
        <v>150</v>
      </c>
      <c r="D45" s="2" t="s">
        <v>266</v>
      </c>
    </row>
    <row r="46" spans="1:4" x14ac:dyDescent="0.2">
      <c r="A46" s="110" t="s">
        <v>259</v>
      </c>
      <c r="B46" s="112">
        <v>20000</v>
      </c>
      <c r="C46" s="111">
        <v>300</v>
      </c>
      <c r="D46" s="2" t="s">
        <v>267</v>
      </c>
    </row>
    <row r="47" spans="1:4" x14ac:dyDescent="0.2">
      <c r="A47" s="110" t="s">
        <v>260</v>
      </c>
      <c r="B47" s="112">
        <v>2700</v>
      </c>
      <c r="C47" s="111">
        <v>150</v>
      </c>
      <c r="D47" s="2" t="s">
        <v>268</v>
      </c>
    </row>
    <row r="48" spans="1:4" x14ac:dyDescent="0.2">
      <c r="A48" s="110" t="s">
        <v>261</v>
      </c>
      <c r="B48" s="112">
        <v>5600</v>
      </c>
      <c r="C48" s="111">
        <v>75</v>
      </c>
      <c r="D48" s="2" t="s">
        <v>269</v>
      </c>
    </row>
    <row r="49" spans="1:4" x14ac:dyDescent="0.2">
      <c r="A49" s="110" t="s">
        <v>262</v>
      </c>
      <c r="B49" s="112">
        <v>1300</v>
      </c>
      <c r="C49" s="111">
        <v>300</v>
      </c>
      <c r="D49" s="2" t="s">
        <v>270</v>
      </c>
    </row>
    <row r="50" spans="1:4" ht="17" thickBot="1" x14ac:dyDescent="0.25">
      <c r="A50" s="41" t="s">
        <v>263</v>
      </c>
      <c r="B50" s="113">
        <v>6000</v>
      </c>
      <c r="C50" s="42">
        <v>300</v>
      </c>
    </row>
    <row r="51" spans="1:4" ht="17" thickBot="1" x14ac:dyDescent="0.25">
      <c r="A51" s="41" t="s">
        <v>274</v>
      </c>
      <c r="B51" s="113">
        <v>14000</v>
      </c>
      <c r="C51" s="42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TCO Cala</vt:lpstr>
      <vt:lpstr>CO2</vt:lpstr>
      <vt:lpstr>Data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Puri</dc:creator>
  <cp:lastModifiedBy>Sumit Puri</cp:lastModifiedBy>
  <dcterms:created xsi:type="dcterms:W3CDTF">2024-11-13T01:29:28Z</dcterms:created>
  <dcterms:modified xsi:type="dcterms:W3CDTF">2025-02-13T19:10:29Z</dcterms:modified>
</cp:coreProperties>
</file>